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5JSkZAwBYIqVKP9b1IH6HIYjqeRPvwuZe9bxxpo6coFmToQElvM8Mm+sOFynb1wX7Ly8l3yvz2h7dWAQ4Q+3ng==" workbookSaltValue="yNe/XXcplinD8RWy56tD0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F10" i="10"/>
  <c r="N11" i="11"/>
  <c r="ES19" i="8"/>
  <c r="C18" i="7"/>
  <c r="S19" i="13"/>
  <c r="AG19" i="19"/>
  <c r="CI19" i="8"/>
  <c r="F17" i="16"/>
  <c r="BL17" i="16" s="1"/>
  <c r="EP19" i="8"/>
  <c r="ER19" i="13"/>
  <c r="AL13" i="16"/>
  <c r="S13" i="16"/>
  <c r="H18" i="16"/>
  <c r="P13" i="16"/>
  <c r="AN13" i="20"/>
  <c r="F15" i="17"/>
  <c r="F17" i="17"/>
  <c r="AQ17" i="17" s="1"/>
  <c r="B17" i="6"/>
  <c r="AC10" i="11"/>
  <c r="H13" i="12"/>
  <c r="T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6" i="17" l="1"/>
  <c r="Y19" i="8"/>
  <c r="BF15" i="8"/>
  <c r="AW18" i="21"/>
  <c r="BG10" i="8"/>
  <c r="AB19" i="8"/>
  <c r="Z19" i="8"/>
  <c r="F9" i="11"/>
  <c r="B9" i="6"/>
  <c r="F9" i="2"/>
  <c r="H12" i="2"/>
  <c r="AL10" i="11"/>
  <c r="C17" i="6"/>
  <c r="M13" i="2"/>
  <c r="M19" i="2" s="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AQ15" i="11" s="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B19" i="7"/>
  <c r="B18" i="6"/>
  <c r="F18" i="11"/>
  <c r="I10" i="12"/>
  <c r="K9" i="12"/>
  <c r="D19" i="12"/>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<sst xmlns="http://schemas.openxmlformats.org/spreadsheetml/2006/main" count="2088" uniqueCount="910">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</sst>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1ZzvrJ6rD4/96NQAwVw4YCtmpV+2N6HeM5BZIm4pFBJNrvU2ysrkV5aC3LvT9s+X3+Hj5+Nwssz7yxMZARRpQ==" saltValue="DejMPB4lOgcTzcdUlVup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35.906633020908437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10</v>
      </c>
      <c r="E10" s="225">
        <f>IF(ISNUMBER(Datos!J10),Datos!J10," - ")</f>
        <v>0</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10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1779</v>
      </c>
      <c r="D15" s="224">
        <f>IF(ISNUMBER(IF(D_I="SI",Datos!I15,Datos!I15+Datos!AC15)),IF(D_I="SI",Datos!I15,Datos!I15+Datos!AC15)," - ")</f>
        <v>1678</v>
      </c>
      <c r="E15" s="225">
        <f>IF(ISNUMBER(IF(D_I="SI",Datos!J15,Datos!J15+Datos!AD15)),IF(D_I="SI",Datos!J15,Datos!J15+Datos!AD15)," - ")</f>
        <v>3382</v>
      </c>
      <c r="F15" s="225">
        <f>IF(ISNUMBER(IF(D_I="SI",Datos!K15,Datos!K15+Datos!AE15)),IF(D_I="SI",Datos!K15,Datos!K15+Datos!AE15)," - ")</f>
        <v>3043</v>
      </c>
      <c r="G15" s="1033" t="str">
        <f>IF(Datos!E15&lt;&gt;"",Datos!E15,Datos!D15)</f>
        <v>03</v>
      </c>
      <c r="H15" s="226">
        <f>IF(ISNUMBER(IF(D_I="SI",Datos!L15,Datos!L15+Datos!AF15)),IF(D_I="SI",Datos!L15,Datos!L15+Datos!AF15)," - ")</f>
        <v>2118</v>
      </c>
      <c r="I15" s="1043" t="str">
        <f>IF(ISNUMBER(Datos!AS15/Datos!BM15),Datos!AS15/Datos!BM15," - ")</f>
        <v xml:space="preserve"> - </v>
      </c>
      <c r="J15" s="1044">
        <f>IF(ISNUMBER(Datos!BY15/Datos!CN15),Datos!BY15/Datos!CN15," - ")</f>
        <v>0</v>
      </c>
      <c r="K15" s="229">
        <f t="shared" ref="K15:K17" si="3">IF(ISNUMBER((E15-F15)/C15),(E15-F15)/C15," - ")</f>
        <v>0.1905564924114671</v>
      </c>
      <c r="L15" s="1024">
        <f>IF(ISNUMBER(NºAsuntos!I15/NºAsuntos!G15),(NºAsuntos!I15/NºAsuntos!G15)*11," - ")</f>
        <v>7.6562602694709163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9</v>
      </c>
      <c r="D16" s="224">
        <f>IF(ISNUMBER(IF(D_I="SI",Datos!I16,Datos!I16+Datos!AC16)),IF(D_I="SI",Datos!I16,Datos!I16+Datos!AC16)," - ")</f>
        <v>9</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9</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3</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1791</v>
      </c>
      <c r="D18" s="1048">
        <f>SUBTOTAL(9,D15:D17)</f>
        <v>1690</v>
      </c>
      <c r="E18" s="1049">
        <f>SUBTOTAL(9,E15:E17)</f>
        <v>3382</v>
      </c>
      <c r="F18" s="1049">
        <f>SUBTOTAL(9,F15:F17)</f>
        <v>3043</v>
      </c>
      <c r="G18" s="1051" t="str">
        <f ca="1">INDIRECT(CONCATENATE("G",ROW()-1))</f>
        <v>37</v>
      </c>
      <c r="H18" s="1052">
        <f ca="1">SUMIF(G$14:G17,G18,H$14:H17)</f>
        <v>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1793</v>
      </c>
      <c r="D19" s="1070">
        <f>SUBTOTAL(9,D9:D18)</f>
        <v>1700</v>
      </c>
      <c r="E19" s="1071">
        <f>SUBTOTAL(9,E9:E18)</f>
        <v>3382</v>
      </c>
      <c r="F19" s="1071">
        <f>SUBTOTAL(9,F9:F18)</f>
        <v>3043</v>
      </c>
      <c r="G19" s="1072"/>
      <c r="H19" s="1073">
        <f ca="1">SUMIF(B9:B18,"TOTAL",H9:H18)</f>
        <v>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kJPMif8p+X7YVaNM1zqNKTBQ4JtoCsldI6t5Nf1vFOYE1dIUhmxorYjwaw3c7j4M5gs3p5XwfQaThpBYBddmw==" saltValue="uUPXprKBF7CTzIlB3dED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17AXgwi/yf65ozdbdiccIxaT00WGxI/kq7j5KZiE+XPyY6esvuqr9orGtFTZ6Ukd4/b49rzdGKDCzz++4sLA==" saltValue="5ayZ27bCq0olIz+ZFPej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9260</v>
      </c>
      <c r="J9" s="180">
        <v>1840</v>
      </c>
      <c r="K9" s="180">
        <v>2683</v>
      </c>
      <c r="L9" s="180">
        <v>8942</v>
      </c>
      <c r="M9" s="180">
        <v>1053</v>
      </c>
      <c r="N9" s="180">
        <v>1070</v>
      </c>
      <c r="O9" s="180">
        <v>1030</v>
      </c>
      <c r="P9" s="180">
        <v>1192</v>
      </c>
      <c r="Q9" s="180">
        <v>788</v>
      </c>
      <c r="R9" s="180">
        <v>13290</v>
      </c>
      <c r="S9" s="180">
        <v>10215</v>
      </c>
      <c r="T9" s="180">
        <v>3000</v>
      </c>
      <c r="U9" s="180">
        <v>3571</v>
      </c>
      <c r="V9" s="180">
        <v>9719</v>
      </c>
      <c r="W9" s="180">
        <v>1289</v>
      </c>
      <c r="X9" s="187">
        <v>1435</v>
      </c>
      <c r="Y9" s="190">
        <v>117</v>
      </c>
      <c r="Z9" s="180">
        <v>83</v>
      </c>
      <c r="AA9" s="180">
        <v>91</v>
      </c>
      <c r="AB9" s="180">
        <v>113</v>
      </c>
      <c r="AC9" s="180">
        <v>0</v>
      </c>
      <c r="AD9" s="180">
        <v>0</v>
      </c>
      <c r="AE9" s="180">
        <v>0</v>
      </c>
      <c r="AF9" s="187">
        <v>0</v>
      </c>
      <c r="AG9" s="190">
        <v>151</v>
      </c>
      <c r="AH9" s="180">
        <v>117</v>
      </c>
      <c r="AI9" s="180">
        <v>156</v>
      </c>
      <c r="AJ9" s="191">
        <v>129</v>
      </c>
      <c r="AK9" s="179">
        <v>0</v>
      </c>
      <c r="AL9" s="180">
        <v>0</v>
      </c>
      <c r="AM9" s="180">
        <v>0</v>
      </c>
      <c r="AN9" s="187">
        <v>0</v>
      </c>
      <c r="AO9" s="257">
        <v>7</v>
      </c>
      <c r="AP9" s="153">
        <v>7</v>
      </c>
      <c r="AQ9" s="153">
        <v>7</v>
      </c>
      <c r="AR9" s="192">
        <v>7</v>
      </c>
      <c r="AS9" s="337" t="s">
        <v>783</v>
      </c>
      <c r="AT9" s="194"/>
      <c r="AU9" s="193"/>
      <c r="AV9" s="194"/>
      <c r="AW9" s="193"/>
      <c r="AX9" s="194"/>
      <c r="AY9" s="123">
        <f>IF(ISNUMBER(IF(J_V="SI",S9,S9+AG9)),IF(J_V="SI",S9,S9+AG9)," - ")</f>
        <v>10366</v>
      </c>
      <c r="AZ9" s="123">
        <f>IF(ISNUMBER(IF(J_V="SI",T9,T9+AH9)),IF(J_V="SI",T9,T9+AH9)," - ")</f>
        <v>3117</v>
      </c>
      <c r="BA9" s="124">
        <f>IF(ISNUMBER(IF(J_V="SI",U9,U9+AI9)),IF(J_V="SI",U9,U9+AI9)," - ")</f>
        <v>3727</v>
      </c>
      <c r="BB9" s="124">
        <f>IF(ISNUMBER(IF(J_V="SI",V9,V9+AJ9)),IF(J_V="SI",V9,V9+AJ9)," - ")</f>
        <v>9848</v>
      </c>
      <c r="BC9" s="125">
        <f>IF(ISNUMBER(X9),X9," - ")</f>
        <v>1435</v>
      </c>
      <c r="BD9" s="126">
        <f>IF(ISNUMBER(BA9/AZ9),BA9/AZ9," - ")</f>
        <v>1.195700994546038</v>
      </c>
      <c r="BE9" s="127">
        <f>IF(ISNUMBER(BB9/BA9),BB9/BA9, " - ")</f>
        <v>2.6423396833914676</v>
      </c>
      <c r="BF9" s="127">
        <f>IF(ISNUMBER(BC9/BA9),BC9/BA9, " - ")</f>
        <v>0.38502817279313123</v>
      </c>
      <c r="BG9" s="195">
        <f>IF(ISNUMBER((AY9+AZ9)/BA9),(AY9+AZ9)/BA9," - ")</f>
        <v>3.6176549503622217</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10</v>
      </c>
      <c r="J10" s="180">
        <v>0</v>
      </c>
      <c r="K10" s="180">
        <v>0</v>
      </c>
      <c r="L10" s="180">
        <v>2</v>
      </c>
      <c r="M10" s="180">
        <v>0</v>
      </c>
      <c r="N10" s="180">
        <v>0</v>
      </c>
      <c r="O10" s="180">
        <v>0</v>
      </c>
      <c r="P10" s="180">
        <v>0</v>
      </c>
      <c r="Q10" s="180">
        <v>0</v>
      </c>
      <c r="R10" s="180">
        <v>65</v>
      </c>
      <c r="S10" s="180">
        <v>13</v>
      </c>
      <c r="T10" s="180">
        <v>10</v>
      </c>
      <c r="U10" s="180">
        <v>10</v>
      </c>
      <c r="V10" s="180">
        <v>13</v>
      </c>
      <c r="W10" s="180">
        <v>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13</v>
      </c>
      <c r="AZ10" s="129">
        <f t="shared" si="0"/>
        <v>10</v>
      </c>
      <c r="BA10" s="129">
        <f t="shared" si="0"/>
        <v>10</v>
      </c>
      <c r="BB10" s="129">
        <f t="shared" si="0"/>
        <v>13</v>
      </c>
      <c r="BC10" s="125">
        <f t="shared" si="0"/>
        <v>2</v>
      </c>
      <c r="BD10" s="126">
        <f>IF(ISNUMBER(BA10/AZ10),BA10/AZ10," - ")</f>
        <v>1</v>
      </c>
      <c r="BE10" s="127">
        <f>IF(ISNUMBER(BB10/BA10),BB10/BA10, " - ")</f>
        <v>1.3</v>
      </c>
      <c r="BF10" s="127">
        <f>IF(ISNUMBER(BC10/BA10),BC10/BA10, " - ")</f>
        <v>0.2</v>
      </c>
      <c r="BG10" s="195">
        <f>IF(ISNUMBER((AY10+AZ10)/BA10),(AY10+AZ10)/BA10," - ")</f>
        <v>2.2999999999999998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1</v>
      </c>
      <c r="AP11" s="154">
        <v>1</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9270</v>
      </c>
      <c r="J13" s="183">
        <f t="shared" si="6"/>
        <v>1840</v>
      </c>
      <c r="K13" s="183">
        <f t="shared" si="6"/>
        <v>2683</v>
      </c>
      <c r="L13" s="183">
        <f t="shared" si="6"/>
        <v>8944</v>
      </c>
      <c r="M13" s="183">
        <f t="shared" si="6"/>
        <v>1053</v>
      </c>
      <c r="N13" s="183">
        <f t="shared" si="6"/>
        <v>1070</v>
      </c>
      <c r="O13" s="183">
        <f t="shared" si="6"/>
        <v>1030</v>
      </c>
      <c r="P13" s="183">
        <f t="shared" si="6"/>
        <v>1192</v>
      </c>
      <c r="Q13" s="183">
        <f t="shared" si="6"/>
        <v>788</v>
      </c>
      <c r="R13" s="183">
        <f t="shared" si="6"/>
        <v>13355</v>
      </c>
      <c r="S13" s="183">
        <f t="shared" si="6"/>
        <v>10228</v>
      </c>
      <c r="T13" s="183">
        <f t="shared" si="6"/>
        <v>3010</v>
      </c>
      <c r="U13" s="183">
        <f t="shared" si="6"/>
        <v>3581</v>
      </c>
      <c r="V13" s="183">
        <f t="shared" si="6"/>
        <v>9732</v>
      </c>
      <c r="W13" s="183">
        <f t="shared" si="6"/>
        <v>1291</v>
      </c>
      <c r="X13" s="183">
        <f t="shared" si="6"/>
        <v>1438</v>
      </c>
      <c r="Y13" s="183">
        <f t="shared" si="6"/>
        <v>117</v>
      </c>
      <c r="Z13" s="183">
        <f t="shared" si="6"/>
        <v>83</v>
      </c>
      <c r="AA13" s="183">
        <f t="shared" si="6"/>
        <v>91</v>
      </c>
      <c r="AB13" s="183">
        <f t="shared" si="6"/>
        <v>113</v>
      </c>
      <c r="AC13" s="183">
        <f t="shared" si="6"/>
        <v>0</v>
      </c>
      <c r="AD13" s="183">
        <f t="shared" si="6"/>
        <v>0</v>
      </c>
      <c r="AE13" s="183">
        <f t="shared" si="6"/>
        <v>0</v>
      </c>
      <c r="AF13" s="183">
        <f>SUBTOTAL(9,AF9:AF12)</f>
        <v>0</v>
      </c>
      <c r="AG13" s="183">
        <f t="shared" ref="AG13:AT13" si="7">SUBTOTAL(9,AG8:AG12)</f>
        <v>151</v>
      </c>
      <c r="AH13" s="183">
        <f t="shared" si="7"/>
        <v>117</v>
      </c>
      <c r="AI13" s="183">
        <f t="shared" si="7"/>
        <v>156</v>
      </c>
      <c r="AJ13" s="183">
        <f t="shared" si="7"/>
        <v>129</v>
      </c>
      <c r="AK13" s="183">
        <f t="shared" si="7"/>
        <v>0</v>
      </c>
      <c r="AL13" s="183">
        <f t="shared" si="7"/>
        <v>0</v>
      </c>
      <c r="AM13" s="183">
        <f t="shared" si="7"/>
        <v>0</v>
      </c>
      <c r="AN13" s="183">
        <f t="shared" si="7"/>
        <v>0</v>
      </c>
      <c r="AO13" s="183">
        <f t="shared" si="7"/>
        <v>9</v>
      </c>
      <c r="AP13" s="183">
        <f t="shared" si="7"/>
        <v>8</v>
      </c>
      <c r="AQ13" s="183">
        <f t="shared" si="7"/>
        <v>7</v>
      </c>
      <c r="AR13" s="183">
        <f t="shared" si="7"/>
        <v>7</v>
      </c>
      <c r="AS13" s="183">
        <f t="shared" si="7"/>
        <v>0</v>
      </c>
      <c r="AT13" s="183">
        <f t="shared" si="7"/>
        <v>0</v>
      </c>
      <c r="AU13" s="203"/>
      <c r="AV13" s="132"/>
      <c r="AW13" s="203"/>
      <c r="AX13" s="132"/>
      <c r="AY13" s="183">
        <f>SUBTOTAL(9,AY8:AY12)</f>
        <v>10379</v>
      </c>
      <c r="AZ13" s="183">
        <f>SUBTOTAL(9,AZ8:AZ12)</f>
        <v>3127</v>
      </c>
      <c r="BA13" s="183">
        <f>SUBTOTAL(9,BA8:BA12)</f>
        <v>3737</v>
      </c>
      <c r="BB13" s="183">
        <f>SUBTOTAL(9,BB8:BB12)</f>
        <v>9861</v>
      </c>
      <c r="BC13" s="183">
        <f>SUBTOTAL(9,BC8:BC12)</f>
        <v>1437</v>
      </c>
      <c r="BD13" s="204">
        <f>IF(ISNUMBER(BA13/AZ13),BA13/AZ13," - ")</f>
        <v>1.1950751519027822</v>
      </c>
      <c r="BE13" s="205">
        <f>IF(ISNUMBER(BB13/BA13),BB13/BA13, " - ")</f>
        <v>2.6387476585496388</v>
      </c>
      <c r="BF13" s="205">
        <f>IF(ISNUMBER(BC13/BA13),BC13/BA13, " - ")</f>
        <v>0.38453304789938453</v>
      </c>
      <c r="BG13" s="206">
        <f>IF(ISNUMBER((AY13+AZ13)/BA13),(AY13+AZ13)/BA13," - ")</f>
        <v>3.614128980465614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1678</v>
      </c>
      <c r="J15" s="182">
        <v>3382</v>
      </c>
      <c r="K15" s="182">
        <v>3043</v>
      </c>
      <c r="L15" s="182">
        <v>2118</v>
      </c>
      <c r="M15" s="182">
        <v>389</v>
      </c>
      <c r="N15" s="182">
        <v>2094</v>
      </c>
      <c r="O15" s="180">
        <v>24</v>
      </c>
      <c r="P15" s="182">
        <v>91</v>
      </c>
      <c r="Q15" s="182">
        <v>126</v>
      </c>
      <c r="R15" s="182">
        <v>479</v>
      </c>
      <c r="S15" s="182">
        <v>2191</v>
      </c>
      <c r="T15" s="182">
        <v>3130</v>
      </c>
      <c r="U15" s="182">
        <v>3369</v>
      </c>
      <c r="V15" s="182">
        <v>2003</v>
      </c>
      <c r="W15" s="182">
        <v>409</v>
      </c>
      <c r="X15" s="188">
        <v>2076</v>
      </c>
      <c r="Y15" s="201">
        <v>0</v>
      </c>
      <c r="Z15" s="182">
        <v>0</v>
      </c>
      <c r="AA15" s="182">
        <v>0</v>
      </c>
      <c r="AB15" s="182">
        <v>0</v>
      </c>
      <c r="AC15" s="182">
        <v>0</v>
      </c>
      <c r="AD15" s="182">
        <v>1</v>
      </c>
      <c r="AE15" s="182">
        <v>1</v>
      </c>
      <c r="AF15" s="188">
        <v>0</v>
      </c>
      <c r="AG15" s="201">
        <v>0</v>
      </c>
      <c r="AH15" s="182">
        <v>0</v>
      </c>
      <c r="AI15" s="182">
        <v>0</v>
      </c>
      <c r="AJ15" s="202">
        <v>0</v>
      </c>
      <c r="AK15" s="181">
        <v>0</v>
      </c>
      <c r="AL15" s="182">
        <v>2</v>
      </c>
      <c r="AM15" s="182">
        <v>2</v>
      </c>
      <c r="AN15" s="188">
        <v>0</v>
      </c>
      <c r="AO15" s="258">
        <v>4</v>
      </c>
      <c r="AP15" s="154">
        <v>4</v>
      </c>
      <c r="AQ15" s="154">
        <v>4</v>
      </c>
      <c r="AR15" s="154">
        <v>4</v>
      </c>
      <c r="AS15" s="339" t="s">
        <v>514</v>
      </c>
      <c r="AT15" s="202" t="s">
        <v>326</v>
      </c>
      <c r="AU15" s="201"/>
      <c r="AV15" s="202"/>
      <c r="AW15" s="201"/>
      <c r="AX15" s="202"/>
      <c r="AY15" s="128">
        <f t="shared" ref="AY15:BB16" si="9">IF(ISNUMBER(IF(D_I="SI",S15,S15+AK15)),IF(D_I="SI",S15,S15+AK15)," - ")</f>
        <v>2191</v>
      </c>
      <c r="AZ15" s="129">
        <f t="shared" si="9"/>
        <v>3130</v>
      </c>
      <c r="BA15" s="129">
        <f t="shared" si="9"/>
        <v>3369</v>
      </c>
      <c r="BB15" s="129">
        <f t="shared" si="9"/>
        <v>2003</v>
      </c>
      <c r="BC15" s="125">
        <f>IF(ISNUMBER(W15),W15," - ")</f>
        <v>409</v>
      </c>
      <c r="BD15" s="126">
        <f>IF(ISNUMBER(BA15/AZ15),BA15/AZ15," - ")</f>
        <v>1.0763578274760384</v>
      </c>
      <c r="BE15" s="127">
        <f>IF(ISNUMBER(BB15/BA15),BB15/BA15, " - ")</f>
        <v>0.59453843870584744</v>
      </c>
      <c r="BF15" s="127">
        <f>IF(ISNUMBER(BC15/BA15),BC15/BA15, " - ")</f>
        <v>0.12140100920154348</v>
      </c>
      <c r="BG15" s="195">
        <f t="shared" ref="BG15:BG16" si="10">IF(ISNUMBER((AY15+AZ15)/BA15),(AY15+AZ15)/BA15," - ")</f>
        <v>1.5794004155535768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9</v>
      </c>
      <c r="J16" s="182">
        <v>0</v>
      </c>
      <c r="K16" s="182">
        <v>0</v>
      </c>
      <c r="L16" s="182">
        <v>9</v>
      </c>
      <c r="M16" s="182">
        <v>0</v>
      </c>
      <c r="N16" s="182">
        <v>0</v>
      </c>
      <c r="O16" s="180">
        <v>0</v>
      </c>
      <c r="P16" s="182">
        <v>0</v>
      </c>
      <c r="Q16" s="182">
        <v>0</v>
      </c>
      <c r="R16" s="182">
        <v>0</v>
      </c>
      <c r="S16" s="182">
        <v>10</v>
      </c>
      <c r="T16" s="182">
        <v>0</v>
      </c>
      <c r="U16" s="182">
        <v>0</v>
      </c>
      <c r="V16" s="182">
        <v>10</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10</v>
      </c>
      <c r="AZ16" s="127">
        <f t="shared" si="9"/>
        <v>0</v>
      </c>
      <c r="BA16" s="127">
        <f t="shared" si="9"/>
        <v>0</v>
      </c>
      <c r="BB16" s="127">
        <f t="shared" si="9"/>
        <v>10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3</v>
      </c>
      <c r="J17" s="182">
        <v>0</v>
      </c>
      <c r="K17" s="182">
        <v>0</v>
      </c>
      <c r="L17" s="182">
        <v>3</v>
      </c>
      <c r="M17" s="182">
        <v>0</v>
      </c>
      <c r="N17" s="182">
        <v>0</v>
      </c>
      <c r="O17" s="182">
        <v>0</v>
      </c>
      <c r="P17" s="182">
        <v>0</v>
      </c>
      <c r="Q17" s="182">
        <v>0</v>
      </c>
      <c r="R17" s="182">
        <v>0</v>
      </c>
      <c r="S17" s="182">
        <v>24</v>
      </c>
      <c r="T17" s="182">
        <v>0</v>
      </c>
      <c r="U17" s="182">
        <v>4</v>
      </c>
      <c r="V17" s="182">
        <v>20</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24</v>
      </c>
      <c r="AZ17" s="129">
        <f t="shared" si="14"/>
        <v>0</v>
      </c>
      <c r="BA17" s="129">
        <f t="shared" si="14"/>
        <v>4</v>
      </c>
      <c r="BB17" s="129">
        <f t="shared" si="14"/>
        <v>20</v>
      </c>
      <c r="BC17" s="125">
        <f>IF(ISNUMBER(W17),W17," - ")</f>
        <v>0</v>
      </c>
      <c r="BD17" s="126" t="str">
        <f>IF(ISNUMBER(BA17/AZ17),BA17/AZ17," - ")</f>
        <v xml:space="preserve"> - </v>
      </c>
      <c r="BE17" s="127">
        <f>IF(ISNUMBER(BB17/BA17),BB17/BA17, " - ")</f>
        <v>5</v>
      </c>
      <c r="BF17" s="127">
        <f>IF(ISNUMBER(BC17/BA17),BC17/BA17, " - ")</f>
        <v>0</v>
      </c>
      <c r="BG17" s="195">
        <f>IF(ISNUMBER((AY17+AZ17)/BA17),(AY17+AZ17)/BA17," - ")</f>
        <v>6</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1690</v>
      </c>
      <c r="J18" s="183">
        <f t="shared" si="15"/>
        <v>3382</v>
      </c>
      <c r="K18" s="183">
        <f t="shared" si="15"/>
        <v>3043</v>
      </c>
      <c r="L18" s="183">
        <f t="shared" si="15"/>
        <v>2130</v>
      </c>
      <c r="M18" s="183">
        <f t="shared" si="15"/>
        <v>389</v>
      </c>
      <c r="N18" s="183">
        <f t="shared" si="15"/>
        <v>2094</v>
      </c>
      <c r="O18" s="183">
        <f t="shared" si="15"/>
        <v>24</v>
      </c>
      <c r="P18" s="183">
        <f t="shared" si="15"/>
        <v>91</v>
      </c>
      <c r="Q18" s="183">
        <f t="shared" si="15"/>
        <v>126</v>
      </c>
      <c r="R18" s="183">
        <f t="shared" si="15"/>
        <v>479</v>
      </c>
      <c r="S18" s="183">
        <f t="shared" si="15"/>
        <v>2225</v>
      </c>
      <c r="T18" s="183">
        <f t="shared" si="15"/>
        <v>3130</v>
      </c>
      <c r="U18" s="183">
        <f t="shared" si="15"/>
        <v>3373</v>
      </c>
      <c r="V18" s="183">
        <f t="shared" si="15"/>
        <v>2033</v>
      </c>
      <c r="W18" s="183">
        <f t="shared" si="15"/>
        <v>409</v>
      </c>
      <c r="X18" s="183">
        <f t="shared" si="15"/>
        <v>2076</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2225</v>
      </c>
      <c r="AZ18" s="183">
        <f>SUBTOTAL(9,AZ14:AZ17)</f>
        <v>3130</v>
      </c>
      <c r="BA18" s="183">
        <f>SUBTOTAL(9,BA14:BA17)</f>
        <v>3373</v>
      </c>
      <c r="BB18" s="183">
        <f>SUBTOTAL(9,BB14:BB17)</f>
        <v>2033</v>
      </c>
      <c r="BC18" s="183">
        <f>SUBTOTAL(9,BC14:BC17)</f>
        <v>409</v>
      </c>
      <c r="BD18" s="204">
        <f>IF(ISNUMBER(BA18/AZ18),BA18/AZ18," - ")</f>
        <v>1.0776357827476037</v>
      </c>
      <c r="BE18" s="205">
        <f>IF(ISNUMBER(BB18/BA18),BB18/BA18, " - ")</f>
        <v>0.60272754224725766</v>
      </c>
      <c r="BF18" s="205">
        <f>IF(ISNUMBER(BC18/BA18),BC18/BA18, " - ")</f>
        <v>0.12125704120960569</v>
      </c>
      <c r="BG18" s="206">
        <f>IF(ISNUMBER((AY18+AZ18)/BA18),(AY18+AZ18)/BA18," - ")</f>
        <v>1.5876074710939816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10960</v>
      </c>
      <c r="J19" s="134">
        <f t="shared" si="18"/>
        <v>5222</v>
      </c>
      <c r="K19" s="134">
        <f t="shared" si="18"/>
        <v>5726</v>
      </c>
      <c r="L19" s="134">
        <f t="shared" si="18"/>
        <v>11074</v>
      </c>
      <c r="M19" s="134">
        <f t="shared" si="18"/>
        <v>1442</v>
      </c>
      <c r="N19" s="134">
        <f t="shared" si="18"/>
        <v>3164</v>
      </c>
      <c r="O19" s="134">
        <f t="shared" si="18"/>
        <v>1054</v>
      </c>
      <c r="P19" s="134">
        <f t="shared" si="18"/>
        <v>1283</v>
      </c>
      <c r="Q19" s="134">
        <f t="shared" si="18"/>
        <v>914</v>
      </c>
      <c r="R19" s="134">
        <f t="shared" si="18"/>
        <v>13834</v>
      </c>
      <c r="S19" s="134">
        <f t="shared" si="18"/>
        <v>12453</v>
      </c>
      <c r="T19" s="134">
        <f t="shared" si="18"/>
        <v>6140</v>
      </c>
      <c r="U19" s="134">
        <f t="shared" si="18"/>
        <v>6954</v>
      </c>
      <c r="V19" s="134">
        <f t="shared" si="18"/>
        <v>11765</v>
      </c>
      <c r="W19" s="134">
        <f t="shared" si="18"/>
        <v>1700</v>
      </c>
      <c r="X19" s="134">
        <f t="shared" si="18"/>
        <v>3514</v>
      </c>
      <c r="Y19" s="134">
        <f t="shared" si="18"/>
        <v>117</v>
      </c>
      <c r="Z19" s="134">
        <f t="shared" si="18"/>
        <v>83</v>
      </c>
      <c r="AA19" s="134">
        <f t="shared" si="18"/>
        <v>91</v>
      </c>
      <c r="AB19" s="134">
        <f t="shared" si="18"/>
        <v>113</v>
      </c>
      <c r="AC19" s="134">
        <f t="shared" si="18"/>
        <v>0</v>
      </c>
      <c r="AD19" s="134">
        <f t="shared" si="18"/>
        <v>1</v>
      </c>
      <c r="AE19" s="134">
        <f t="shared" si="18"/>
        <v>1</v>
      </c>
      <c r="AF19" s="134">
        <f t="shared" si="18"/>
        <v>0</v>
      </c>
      <c r="AG19" s="134">
        <f t="shared" si="18"/>
        <v>151</v>
      </c>
      <c r="AH19" s="134">
        <f t="shared" si="18"/>
        <v>117</v>
      </c>
      <c r="AI19" s="134">
        <f t="shared" si="18"/>
        <v>156</v>
      </c>
      <c r="AJ19" s="134">
        <f t="shared" si="18"/>
        <v>129</v>
      </c>
      <c r="AK19" s="134">
        <f t="shared" si="18"/>
        <v>0</v>
      </c>
      <c r="AL19" s="134">
        <f t="shared" si="18"/>
        <v>2</v>
      </c>
      <c r="AM19" s="134">
        <f t="shared" si="18"/>
        <v>2</v>
      </c>
      <c r="AN19" s="209">
        <f t="shared" si="18"/>
        <v>0</v>
      </c>
      <c r="AO19" s="210">
        <v>13</v>
      </c>
      <c r="AP19" s="210">
        <v>12</v>
      </c>
      <c r="AQ19" s="210">
        <v>11</v>
      </c>
      <c r="AR19" s="210">
        <v>11</v>
      </c>
      <c r="AS19" s="152">
        <f t="shared" si="18"/>
        <v>0</v>
      </c>
      <c r="AT19" s="152">
        <f t="shared" si="18"/>
        <v>0</v>
      </c>
      <c r="AU19" s="210"/>
      <c r="AV19" s="211"/>
      <c r="AW19" s="210"/>
      <c r="AX19" s="211"/>
      <c r="AY19" s="133">
        <f>SUBTOTAL(9,AY9:AY18)</f>
        <v>12604</v>
      </c>
      <c r="AZ19" s="134">
        <f>SUBTOTAL(9,AZ9:AZ18)</f>
        <v>6257</v>
      </c>
      <c r="BA19" s="134">
        <f>SUBTOTAL(9,BA9:BA18)</f>
        <v>7110</v>
      </c>
      <c r="BB19" s="134">
        <f>SUBTOTAL(9,BB9:BB18)</f>
        <v>11894</v>
      </c>
      <c r="BC19" s="135">
        <f>SUBTOTAL(9,BC9:BC18)</f>
        <v>1846</v>
      </c>
      <c r="BD19" s="212">
        <f>IF(ISNUMBER(BA19/AZ19),BA19/AZ19," - ")</f>
        <v>1.136327313408982</v>
      </c>
      <c r="BE19" s="209">
        <f>IF(ISNUMBER(BB19/BA19),BB19/BA19, " - ")</f>
        <v>1.6728551336146273</v>
      </c>
      <c r="BF19" s="209">
        <f>IF(ISNUMBER(BC19/BA19),BC19/BA19, " - ")</f>
        <v>0.25963431786216595</v>
      </c>
      <c r="BG19" s="135">
        <f>IF(ISNUMBER((AY19+AZ19)/BA19),(AY19+AZ19)/BA19," - ")</f>
        <v>2.6527426160337555</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bs2dYwWqLc9Fa/NBRY9wUgWHhJgjr13FT4Zui9gLxc5Q2J1cYSU68fBbZw0FBhlz6qJJLcB8c+3Yd1PtKxHsg==" saltValue="D6hQTwYTlSaN2kGLESn/5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5C/J2e1uO9SWUI61Bk8UwyZt4SbLxP8z8RTXO+UfSBR/SivRgdf/AFnfU15rkqw3G/j6Bum7lAEcrrl5Fyr+A==" saltValue="+tYgZEIpwNo/CQMfOE89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CRISTOBAL DE LA LAGUNA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83</v>
      </c>
      <c r="O9" s="333"/>
      <c r="P9" s="333"/>
      <c r="Q9" s="225">
        <f>IF(ISNUMBER(Datos!P9),Datos!P9,0)</f>
        <v>1192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788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113</v>
      </c>
      <c r="AI9" s="333" t="str">
        <f>IF(ISNUMBER(Datos!CD9),Datos!CD9,"-")</f>
        <v>-</v>
      </c>
      <c r="AJ9" s="333" t="str">
        <f>IF(ISNUMBER(Datos!EN9),Datos!EN9," - ")</f>
        <v xml:space="preserve"> - </v>
      </c>
      <c r="AK9" s="333"/>
      <c r="AL9" s="478"/>
      <c r="AM9" s="334">
        <f>IF(ISNUMBER(Datos!R9),Datos!R9," - ")</f>
        <v>13290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1053</v>
      </c>
      <c r="BD9" s="228">
        <f>IF(ISNUMBER(Datos!N9),Datos!N9," - ")</f>
        <v>1070</v>
      </c>
      <c r="BE9" s="228" t="str">
        <f>IF(ISNUMBER(Datos!BW9),Datos!BW9," - ")</f>
        <v xml:space="preserve"> - </v>
      </c>
      <c r="BF9" s="227" t="str">
        <f>IF(ISNUMBER(Datos!BX9),Datos!BX9," - ")</f>
        <v xml:space="preserve"> - </v>
      </c>
      <c r="BG9" s="242">
        <f>IF(ISNUMBER(IF(J_V="SI",Datos!K9/Datos!J9,(Datos!K9+Datos!AA9)/(Datos!J9+Datos!Z9))),IF(J_V="SI",Datos!K9/Datos!J9,(Datos!K9+Datos!AA9)/(Datos!J9+Datos!Z9))," - ")</f>
        <v>1.4425377015080603</v>
      </c>
      <c r="BH9" s="259">
        <f>IF(ISNUMBER(((IF(J_V="SI",Datos!L9/Datos!K9,(Datos!L9+Datos!AB9)/(Datos!K9+Datos!AA9)))*11)/factor_trimestre),((IF(J_V="SI",Datos!L9/Datos!K9,(Datos!L9+Datos!AB9)/(Datos!K9+Datos!AA9)))*11)/factor_trimestre," - ")</f>
        <v>6.5284787310742614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3.1351854726059288E-2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65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2</v>
      </c>
      <c r="G13" s="897">
        <f t="shared" si="0"/>
        <v>10</v>
      </c>
      <c r="H13" s="898">
        <f t="shared" si="0"/>
        <v>0</v>
      </c>
      <c r="I13" s="897">
        <f t="shared" si="0"/>
        <v>0</v>
      </c>
      <c r="J13" s="866">
        <f t="shared" si="0"/>
        <v>0</v>
      </c>
      <c r="K13" s="866">
        <f t="shared" si="0"/>
        <v>0</v>
      </c>
      <c r="L13" s="898">
        <f t="shared" si="0"/>
        <v>0</v>
      </c>
      <c r="M13" s="898">
        <f t="shared" si="0"/>
        <v>0</v>
      </c>
      <c r="N13" s="898">
        <f t="shared" si="0"/>
        <v>83</v>
      </c>
      <c r="O13" s="899">
        <f t="shared" si="0"/>
        <v>0</v>
      </c>
      <c r="P13" s="899">
        <f t="shared" si="0"/>
        <v>0</v>
      </c>
      <c r="Q13" s="898">
        <f t="shared" si="0"/>
        <v>1192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788</v>
      </c>
      <c r="AD13" s="898">
        <f t="shared" si="1"/>
        <v>0</v>
      </c>
      <c r="AE13" s="898">
        <f t="shared" si="1"/>
        <v>0</v>
      </c>
      <c r="AF13" s="898">
        <f t="shared" si="1"/>
        <v>2</v>
      </c>
      <c r="AG13" s="898">
        <f t="shared" si="1"/>
        <v>0</v>
      </c>
      <c r="AH13" s="898">
        <f t="shared" si="1"/>
        <v>113</v>
      </c>
      <c r="AI13" s="898">
        <f t="shared" si="1"/>
        <v>0</v>
      </c>
      <c r="AJ13" s="898">
        <f t="shared" si="1"/>
        <v>0</v>
      </c>
      <c r="AK13" s="898">
        <f t="shared" si="1"/>
        <v>0</v>
      </c>
      <c r="AL13" s="898">
        <f t="shared" si="1"/>
        <v>0</v>
      </c>
      <c r="AM13" s="898">
        <f t="shared" si="1"/>
        <v>13355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1053</v>
      </c>
      <c r="BD13" s="898">
        <f t="shared" si="1"/>
        <v>1070</v>
      </c>
      <c r="BE13" s="898">
        <f t="shared" si="1"/>
        <v>0</v>
      </c>
      <c r="BF13" s="898">
        <f t="shared" si="1"/>
        <v>0</v>
      </c>
      <c r="BG13" s="898">
        <f>IF(ISNUMBER(Datos!K13/Datos!J13),Datos!K13/Datos!J13," - ")</f>
        <v>1.4581521739130434</v>
      </c>
      <c r="BH13" s="902">
        <f>IF(ISNUMBER(((Datos!L13/Datos!K13)*11)/factor_trimestre),((Datos!L13/Datos!K13)*11)/factor_trimestre," - ")</f>
        <v>6.6671636228102873</v>
      </c>
      <c r="BI13" s="898">
        <f>IF(ISNUMBER('Resol  Asuntos'!D13/NºAsuntos!G13),'Resol  Asuntos'!D13/NºAsuntos!G13," - ")</f>
        <v>0.37959625090122567</v>
      </c>
      <c r="BJ13" s="898" t="str">
        <f>IF(ISNUMBER(Datos!CI13/Datos!CJ13),Datos!CI13/Datos!CJ13," - ")</f>
        <v xml:space="preserve"> - </v>
      </c>
      <c r="BK13" s="898">
        <f>SUBTOTAL(9,BK8:BK12)</f>
        <v>0</v>
      </c>
      <c r="BL13" s="898">
        <f>IF(ISNUMBER((I13-AB13+L13)/(F13)),(I13-AB13+L13)/(F13)," - ")</f>
        <v>0</v>
      </c>
      <c r="BM13" s="903">
        <f>SUBTOTAL(9,BM9:BM12)</f>
        <v>3.1351854726059288E-2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1779</v>
      </c>
      <c r="G15" s="597">
        <f>IF(ISNUMBER(IF(D_I="SI",Datos!I15,Datos!I15+Datos!AC15)),IF(D_I="SI",Datos!I15,Datos!I15+Datos!AC15)," - ")</f>
        <v>1678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3043</v>
      </c>
      <c r="AC15" s="225">
        <f>IF(ISNUMBER(Datos!Q15),Datos!Q15," - ")</f>
        <v>126</v>
      </c>
      <c r="AD15" s="333"/>
      <c r="AE15" s="483"/>
      <c r="AF15" s="595">
        <f>IF(ISNUMBER(IF(D_I="SI",Datos!L15,Datos!L15+Datos!AF15)),IF(D_I="SI",Datos!L15,Datos!L15+Datos!AF15)," - ")</f>
        <v>2118</v>
      </c>
      <c r="AG15" s="333"/>
      <c r="AH15" s="333"/>
      <c r="AI15" s="333"/>
      <c r="AJ15" s="333"/>
      <c r="AK15" s="333"/>
      <c r="AL15" s="478"/>
      <c r="AM15" s="334">
        <f>IF(ISNUMBER(Datos!R15),Datos!R15," - ")</f>
        <v>479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389</v>
      </c>
      <c r="BD15" s="228">
        <f>IF(ISNUMBER(Datos!N15),Datos!N15," - ")</f>
        <v>2094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0.89976345357776466</v>
      </c>
      <c r="BH15" s="259">
        <f>IF(ISNUMBER(((IF(D_I="SI",Datos!L15/Datos!K15,(Datos!L15+Datos!AF15)/(Datos!K15+Datos!AE15)))*11)/factor_trimestre),((IF(D_I="SI",Datos!L15/Datos!K15,(Datos!L15+Datos!AF15)/(Datos!K15+Datos!AE15)))*11)/factor_trimestre," - ")</f>
        <v>1.3920473217219849</v>
      </c>
      <c r="BI15" s="242">
        <f>IF(ISNUMBER('Resol  Asuntos'!D15/NºAsuntos!G15),'Resol  Asuntos'!D15/NºAsuntos!G15," - ")</f>
        <v>0.12783437397305292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9</v>
      </c>
      <c r="G16" s="597">
        <f>IF(ISNUMBER(IF(D_I="SI",Datos!I16,Datos!I16+Datos!AC16)),IF(D_I="SI",Datos!I16,Datos!I16+Datos!AC16)," - ")</f>
        <v>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9</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1788</v>
      </c>
      <c r="G18" s="897">
        <f>SUBTOTAL(9,G15:G17)</f>
        <v>1690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3043</v>
      </c>
      <c r="AC18" s="898">
        <f t="shared" si="4"/>
        <v>126</v>
      </c>
      <c r="AD18" s="898">
        <f t="shared" si="4"/>
        <v>0</v>
      </c>
      <c r="AE18" s="898">
        <f t="shared" si="4"/>
        <v>0</v>
      </c>
      <c r="AF18" s="898">
        <f t="shared" si="4"/>
        <v>2130</v>
      </c>
      <c r="AG18" s="898">
        <f t="shared" si="4"/>
        <v>0</v>
      </c>
      <c r="AH18" s="898">
        <f t="shared" si="4"/>
        <v>0</v>
      </c>
      <c r="AI18" s="898">
        <f t="shared" si="4"/>
        <v>0</v>
      </c>
      <c r="AJ18" s="898">
        <f t="shared" si="4"/>
        <v>0</v>
      </c>
      <c r="AK18" s="898">
        <f t="shared" si="4"/>
        <v>0</v>
      </c>
      <c r="AL18" s="898">
        <f t="shared" si="4"/>
        <v>0</v>
      </c>
      <c r="AM18" s="898">
        <f t="shared" si="4"/>
        <v>479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389</v>
      </c>
      <c r="BD18" s="898">
        <f t="shared" si="4"/>
        <v>2094</v>
      </c>
      <c r="BE18" s="898">
        <f t="shared" si="4"/>
        <v>0</v>
      </c>
      <c r="BF18" s="898">
        <f t="shared" si="4"/>
        <v>0</v>
      </c>
      <c r="BG18" s="898">
        <f>IF(ISNUMBER(Datos!K18/Datos!J18),Datos!K18/Datos!J18," - ")</f>
        <v>0.89976345357776466</v>
      </c>
      <c r="BH18" s="902">
        <f>IF(ISNUMBER(((Datos!L18/Datos!K18)*11)/factor_trimestre),((Datos!L18/Datos!K18)*11)/factor_trimestre," - ")</f>
        <v>1.3999342753861321</v>
      </c>
      <c r="BI18" s="898">
        <f>SUBTOTAL(9,BI15:BI17)</f>
        <v>0.12783437397305292</v>
      </c>
      <c r="BJ18" s="898">
        <f>SUBTOTAL(9,BJ15:BJ17)</f>
        <v>0</v>
      </c>
      <c r="BK18" s="898">
        <f>SUBTOTAL(9,BK15:BK17)</f>
        <v>0</v>
      </c>
      <c r="BL18" s="898">
        <f>IF(ISNUMBER((I18-AB18+L18)/(F18)),(I18-AB18+L18)/(F18)," - ")</f>
        <v>-1.7019015659955257</v>
      </c>
      <c r="BM18" s="904">
        <f>IF(ISNUMBER((Datos!P18-Datos!Q18)/(Datos!R18-Datos!P18+Datos!Q18)),(Datos!P18-Datos!Q18)/(Datos!R18-Datos!P18+Datos!Q18)," - ")</f>
        <v>-6.8093385214007776E-2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11</v>
      </c>
      <c r="F19" s="819">
        <f t="shared" si="6"/>
        <v>1790</v>
      </c>
      <c r="G19" s="819">
        <f t="shared" si="6"/>
        <v>1700</v>
      </c>
      <c r="H19" s="821">
        <f t="shared" si="6"/>
        <v>0</v>
      </c>
      <c r="I19" s="819">
        <f t="shared" si="6"/>
        <v>0</v>
      </c>
      <c r="J19" s="821">
        <f t="shared" si="6"/>
        <v>0</v>
      </c>
      <c r="K19" s="821">
        <f t="shared" si="6"/>
        <v>0</v>
      </c>
      <c r="L19" s="880">
        <f t="shared" si="6"/>
        <v>0</v>
      </c>
      <c r="M19" s="880">
        <f t="shared" si="6"/>
        <v>0</v>
      </c>
      <c r="N19" s="880">
        <f t="shared" si="6"/>
        <v>83</v>
      </c>
      <c r="O19" s="880">
        <f t="shared" si="6"/>
        <v>0</v>
      </c>
      <c r="P19" s="880">
        <f t="shared" si="6"/>
        <v>0</v>
      </c>
      <c r="Q19" s="821">
        <f t="shared" si="6"/>
        <v>1283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3043</v>
      </c>
      <c r="AC19" s="820">
        <f t="shared" si="7"/>
        <v>914</v>
      </c>
      <c r="AD19" s="820">
        <f t="shared" si="7"/>
        <v>0</v>
      </c>
      <c r="AE19" s="820">
        <f t="shared" si="7"/>
        <v>0</v>
      </c>
      <c r="AF19" s="827">
        <f t="shared" si="7"/>
        <v>2132</v>
      </c>
      <c r="AG19" s="827">
        <f t="shared" si="7"/>
        <v>0</v>
      </c>
      <c r="AH19" s="827">
        <f t="shared" si="7"/>
        <v>113</v>
      </c>
      <c r="AI19" s="827">
        <f t="shared" si="7"/>
        <v>0</v>
      </c>
      <c r="AJ19" s="820">
        <f t="shared" si="7"/>
        <v>0</v>
      </c>
      <c r="AK19" s="827">
        <f t="shared" si="7"/>
        <v>0</v>
      </c>
      <c r="AL19" s="827">
        <f t="shared" si="7"/>
        <v>0</v>
      </c>
      <c r="AM19" s="827">
        <f t="shared" si="7"/>
        <v>13834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1442</v>
      </c>
      <c r="BD19" s="819">
        <f t="shared" si="7"/>
        <v>3164</v>
      </c>
      <c r="BE19" s="819">
        <f t="shared" si="7"/>
        <v>0</v>
      </c>
      <c r="BF19" s="829">
        <f t="shared" si="7"/>
        <v>0</v>
      </c>
      <c r="BG19" s="914">
        <f>IF(ISNUMBER(Datos!K19/Datos!J19),Datos!K19/Datos!J19," - ")</f>
        <v>1.0965147453083111</v>
      </c>
      <c r="BH19" s="914">
        <f>IF(ISNUMBER(((Datos!L19/Datos!K19)*11)/factor_trimestre),((Datos!L19/Datos!K19)*11)/factor_trimestre," - ")</f>
        <v>3.8679706601466992</v>
      </c>
      <c r="BI19" s="812">
        <f>IF(ISNUMBER(Datos!J19/Datos!I19),Datos!J19/Datos!I19," - ")</f>
        <v>0.47645985401459856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v>
      </c>
      <c r="BM19" s="888">
        <f>IF(ISNUMBER((Datos!P19-Datos!Q19+R19)/(Datos!R19-Datos!P19+Datos!Q19-R19)),(Datos!P19-Datos!Q19+R19)/(Datos!R19-Datos!P19+Datos!Q19-R19)," - ")</f>
        <v>2.7404381730412181E-2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566.66666666666663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3.0867098629086893</v>
      </c>
      <c r="F21" s="550">
        <f>IF(ISNUMBER(STDEV(F8:F18)),STDEV(F8:F18),"-")</f>
        <v>974.49910210322923</v>
      </c>
      <c r="G21" s="551">
        <f>IF(ISNUMBER(STDEV(G8:G18)),STDEV(G8:G18),"-")</f>
        <v>865.49492584686277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1571.3984430012226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471.17795647363073</v>
      </c>
      <c r="BD21" s="550"/>
      <c r="BE21" s="550">
        <f>IF(ISNUMBER(STDEV(BE8:BE18)),STDEV(BE8:BE18),"-")</f>
        <v>0</v>
      </c>
      <c r="BF21" s="555">
        <f>IF(ISNUMBER(STDEV(BF8:BF18)),STDEV(BF8:BF18),"-")</f>
        <v>0</v>
      </c>
      <c r="BG21" s="774">
        <f>IF(ISNUMBER(STDEV(BG8:BG18)),STDEV(BG8:BG18),"-")</f>
        <v>0.31794227806532477</v>
      </c>
      <c r="BH21" s="775">
        <f>IF(ISNUMBER(STDEV(BH8:BH18)),STDEV(BH8:BH18),"-")</f>
        <v>3.0038135282303764</v>
      </c>
      <c r="BI21" s="248">
        <f>IF(ISNUMBER(STDEV(BI8:BI18)),STDEV(BI8:BI18),"-")</f>
        <v>0.14535478741616598</v>
      </c>
      <c r="BJ21" s="229" t="str">
        <f>IF(ISNUMBER(BL21/BM21),BL21/BM21," - ")</f>
        <v xml:space="preserve"> - </v>
      </c>
      <c r="BK21" s="574"/>
      <c r="BL21" s="558">
        <f>IF(ISNUMBER(STDEV(BL8:BL18)),STDEV(BL8:BL18),"-")</f>
        <v>1.2034261382274407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pCI2pjSPKYkexzn7eUVcWDZxkDlmuj0rp8s8oYlHyhCoI3ZsiTmFG+yUeaHAwYwr3PnEFGTI2/rcUcecpbRJA==" saltValue="n8ah1T9rH+UvP32jlE8j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 CRISTOBAL DE LA LAGUNA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1192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788</v>
      </c>
      <c r="AA9" s="331" t="str">
        <f>IF(ISNUMBER(IF(J_V="SI",Datos!L9,Datos!L9+Datos!AB9)-IF(Monitorios="SI",Datos!CD9,0)),
                          IF(J_V="SI",Datos!L9,Datos!L9+Datos!AB9)-IF(Monitorios="SI",Datos!CD9,0),
                          " - ")</f>
        <v xml:space="preserve"> - </v>
      </c>
      <c r="AB9" s="333"/>
      <c r="AC9" s="333"/>
      <c r="AD9" s="483"/>
      <c r="AE9" s="483">
        <f>IF(ISNUMBER(Datos!R9),Datos!R9," - ")</f>
        <v>13290</v>
      </c>
      <c r="AF9" s="228" t="str">
        <f>IF(ISNUMBER(Datos!BV9),Datos!BV9," - ")</f>
        <v xml:space="preserve"> - </v>
      </c>
      <c r="AG9" s="224" t="str">
        <f>IF(ISNUMBER(Datos!DV9),Datos!DV9," - ")</f>
        <v xml:space="preserve"> - </v>
      </c>
      <c r="AH9" s="297"/>
      <c r="AI9" s="226"/>
      <c r="AJ9" s="224">
        <f>IF(ISNUMBER(Datos!M9),Datos!M9," - ")</f>
        <v>1053</v>
      </c>
      <c r="AK9" s="228">
        <f>IF(ISNUMBER(Datos!N9),Datos!N9," - ")</f>
        <v>1070</v>
      </c>
      <c r="AL9" s="228" t="str">
        <f>IF(ISNUMBER(Datos!BW9),Datos!BW9," - ")</f>
        <v xml:space="preserve"> - </v>
      </c>
      <c r="AM9" s="227" t="str">
        <f>IF(ISNUMBER(Datos!BX9),Datos!BX9," - ")</f>
        <v xml:space="preserve"> - </v>
      </c>
      <c r="AN9" s="242"/>
      <c r="AO9" s="259">
        <f>IF(ISNUMBER(((NºAsuntos!I9/NºAsuntos!G9)*11)/factor_trimestre),((NºAsuntos!I9/NºAsuntos!G9)*11)/factor_trimestre," - ")</f>
        <v>6.5284787310742614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3.1351854726059288E-2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65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2</v>
      </c>
      <c r="G13" s="897">
        <f>SUBTOTAL(9,G8:G12)</f>
        <v>10</v>
      </c>
      <c r="H13" s="907"/>
      <c r="I13" s="897">
        <f t="shared" ref="I13:N13" si="0">SUBTOTAL(9,I8:I12)</f>
        <v>0</v>
      </c>
      <c r="J13" s="866">
        <f t="shared" si="0"/>
        <v>0</v>
      </c>
      <c r="K13" s="907">
        <f t="shared" si="0"/>
        <v>0</v>
      </c>
      <c r="L13" s="907">
        <f t="shared" si="0"/>
        <v>0</v>
      </c>
      <c r="M13" s="907">
        <f t="shared" si="0"/>
        <v>0</v>
      </c>
      <c r="N13" s="907">
        <f t="shared" si="0"/>
        <v>1192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788</v>
      </c>
      <c r="AA13" s="899">
        <f t="shared" si="2"/>
        <v>2</v>
      </c>
      <c r="AB13" s="899">
        <f t="shared" si="2"/>
        <v>0</v>
      </c>
      <c r="AC13" s="899">
        <f t="shared" si="2"/>
        <v>0</v>
      </c>
      <c r="AD13" s="899">
        <f t="shared" si="2"/>
        <v>0</v>
      </c>
      <c r="AE13" s="899">
        <f t="shared" si="2"/>
        <v>13355</v>
      </c>
      <c r="AF13" s="907">
        <f t="shared" si="2"/>
        <v>0</v>
      </c>
      <c r="AG13" s="907">
        <f t="shared" si="2"/>
        <v>0</v>
      </c>
      <c r="AH13" s="907">
        <f t="shared" si="2"/>
        <v>0</v>
      </c>
      <c r="AI13" s="907">
        <f t="shared" si="2"/>
        <v>0</v>
      </c>
      <c r="AJ13" s="907">
        <f t="shared" si="2"/>
        <v>1053</v>
      </c>
      <c r="AK13" s="907">
        <f t="shared" si="2"/>
        <v>1070</v>
      </c>
      <c r="AL13" s="907">
        <f t="shared" si="2"/>
        <v>0</v>
      </c>
      <c r="AM13" s="907">
        <f t="shared" si="2"/>
        <v>0</v>
      </c>
      <c r="AN13" s="907">
        <f t="shared" si="2"/>
        <v>0</v>
      </c>
      <c r="AO13" s="903">
        <f>IF(ISNUMBER(((NºAsuntos!I13/NºAsuntos!G13)*11)/factor_trimestre),((NºAsuntos!I13/NºAsuntos!G13)*11)/factor_trimestre," - ")</f>
        <v>6.529920692141312</v>
      </c>
      <c r="AP13" s="909" t="str">
        <f>IF(ISNUMBER(Datos!CI13/Datos!CJ13),Datos!CI13/Datos!CJ13," - ")</f>
        <v xml:space="preserve"> - </v>
      </c>
      <c r="AQ13" s="927">
        <f t="shared" ref="AQ13:AV13" si="3">SUBTOTAL(9,AQ9:AQ12)</f>
        <v>0</v>
      </c>
      <c r="AR13" s="927">
        <f t="shared" si="3"/>
        <v>3.1351854726059288E-2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1779</v>
      </c>
      <c r="G15" s="224">
        <f>IF(ISNUMBER(IF(D_I="SI",Datos!I15,Datos!I15+Datos!AC15)),IF(D_I="SI",Datos!I15,Datos!I15+Datos!AC15)," - ")</f>
        <v>1678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3043</v>
      </c>
      <c r="Z15" s="618">
        <f>IF(ISNUMBER(Datos!Q15),Datos!Q15," - ")</f>
        <v>126</v>
      </c>
      <c r="AA15" s="331">
        <f>IF(ISNUMBER(IF(D_I="SI",Datos!L15,Datos!L15+Datos!AF15)),IF(D_I="SI",Datos!L15,Datos!L15+Datos!AF15)," - ")</f>
        <v>2118</v>
      </c>
      <c r="AB15" s="333"/>
      <c r="AC15" s="333"/>
      <c r="AD15" s="483"/>
      <c r="AE15" s="483">
        <f>IF(ISNUMBER(Datos!R15),Datos!R15," - ")</f>
        <v>479</v>
      </c>
      <c r="AF15" s="228" t="str">
        <f>IF(ISNUMBER(Datos!BV15),Datos!BV15," - ")</f>
        <v xml:space="preserve"> - </v>
      </c>
      <c r="AG15" s="224"/>
      <c r="AH15" s="297"/>
      <c r="AI15" s="226"/>
      <c r="AJ15" s="224">
        <f>IF(ISNUMBER(Datos!M15),Datos!M15," - ")</f>
        <v>389</v>
      </c>
      <c r="AK15" s="228">
        <f>IF(ISNUMBER(Datos!N15),Datos!N15," - ")</f>
        <v>2094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1.3920473217219849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9</v>
      </c>
      <c r="G16" s="224">
        <f>IF(ISNUMBER(IF(D_I="SI",Datos!I16,Datos!I16+Datos!AC16)),IF(D_I="SI",Datos!I16,Datos!I16+Datos!AC16)," - ")</f>
        <v>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9</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1788</v>
      </c>
      <c r="G18" s="897">
        <f>SUBTOTAL(9,G15:G17)</f>
        <v>1690</v>
      </c>
      <c r="H18" s="931">
        <f>SUBTOTAL(9,H15:H17)</f>
        <v>0</v>
      </c>
      <c r="I18" s="910">
        <f>SUBTOTAL(9,I15:I17)</f>
        <v>0</v>
      </c>
      <c r="J18" s="866">
        <f>SUBTOTAL(9,J14:J17)</f>
        <v>0</v>
      </c>
      <c r="K18" s="931">
        <f t="shared" ref="K18:S18" si="4">SUBTOTAL(9,K15:K17)</f>
        <v>0</v>
      </c>
      <c r="L18" s="931">
        <f t="shared" si="4"/>
        <v>0</v>
      </c>
      <c r="M18" s="931">
        <f t="shared" si="4"/>
        <v>0</v>
      </c>
      <c r="N18" s="931">
        <f t="shared" si="4"/>
        <v>91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3043</v>
      </c>
      <c r="Z18" s="931">
        <f t="shared" si="5"/>
        <v>126</v>
      </c>
      <c r="AA18" s="931">
        <f t="shared" si="5"/>
        <v>2130</v>
      </c>
      <c r="AB18" s="931">
        <f t="shared" si="5"/>
        <v>0</v>
      </c>
      <c r="AC18" s="931">
        <f t="shared" si="5"/>
        <v>0</v>
      </c>
      <c r="AD18" s="931">
        <f t="shared" si="5"/>
        <v>0</v>
      </c>
      <c r="AE18" s="931">
        <f t="shared" si="5"/>
        <v>479</v>
      </c>
      <c r="AF18" s="931">
        <f t="shared" si="5"/>
        <v>0</v>
      </c>
      <c r="AG18" s="931">
        <f t="shared" si="5"/>
        <v>0</v>
      </c>
      <c r="AH18" s="931">
        <f t="shared" si="5"/>
        <v>0</v>
      </c>
      <c r="AI18" s="931">
        <f t="shared" si="5"/>
        <v>0</v>
      </c>
      <c r="AJ18" s="931">
        <f t="shared" si="5"/>
        <v>389</v>
      </c>
      <c r="AK18" s="931">
        <f t="shared" si="5"/>
        <v>2094</v>
      </c>
      <c r="AL18" s="931">
        <f t="shared" si="5"/>
        <v>0</v>
      </c>
      <c r="AM18" s="931">
        <f t="shared" si="5"/>
        <v>0</v>
      </c>
      <c r="AN18" s="931">
        <f t="shared" si="5"/>
        <v>0</v>
      </c>
      <c r="AO18" s="933">
        <f>IF(ISNUMBER(((NºAsuntos!I18/NºAsuntos!G18)*11)/factor_trimestre),((NºAsuntos!I18/NºAsuntos!G18)*11)/factor_trimestre," - ")</f>
        <v>1.3999342753861321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1790</v>
      </c>
      <c r="G19" s="819">
        <f t="shared" si="7"/>
        <v>1700</v>
      </c>
      <c r="H19" s="820">
        <f t="shared" si="7"/>
        <v>0</v>
      </c>
      <c r="I19" s="819">
        <f t="shared" si="7"/>
        <v>0</v>
      </c>
      <c r="J19" s="821">
        <f t="shared" si="7"/>
        <v>0</v>
      </c>
      <c r="K19" s="819">
        <f t="shared" si="7"/>
        <v>0</v>
      </c>
      <c r="L19" s="822">
        <f t="shared" si="7"/>
        <v>0</v>
      </c>
      <c r="M19" s="819">
        <f t="shared" si="7"/>
        <v>0</v>
      </c>
      <c r="N19" s="820">
        <f t="shared" si="7"/>
        <v>1283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3043</v>
      </c>
      <c r="Z19" s="826">
        <f t="shared" si="8"/>
        <v>914</v>
      </c>
      <c r="AA19" s="827">
        <f t="shared" si="8"/>
        <v>2132</v>
      </c>
      <c r="AB19" s="827">
        <f t="shared" si="8"/>
        <v>0</v>
      </c>
      <c r="AC19" s="827">
        <f t="shared" si="8"/>
        <v>0</v>
      </c>
      <c r="AD19" s="828">
        <f t="shared" si="8"/>
        <v>0</v>
      </c>
      <c r="AE19" s="828">
        <f t="shared" si="8"/>
        <v>13834</v>
      </c>
      <c r="AF19" s="829">
        <f t="shared" si="8"/>
        <v>0</v>
      </c>
      <c r="AG19" s="830">
        <f t="shared" si="8"/>
        <v>0</v>
      </c>
      <c r="AH19" s="831">
        <f t="shared" si="8"/>
        <v>0</v>
      </c>
      <c r="AI19" s="829">
        <f t="shared" si="8"/>
        <v>0</v>
      </c>
      <c r="AJ19" s="819">
        <f t="shared" si="8"/>
        <v>1442</v>
      </c>
      <c r="AK19" s="819">
        <f t="shared" si="8"/>
        <v>3164</v>
      </c>
      <c r="AL19" s="819">
        <f t="shared" si="8"/>
        <v>0</v>
      </c>
      <c r="AM19" s="832">
        <f t="shared" si="8"/>
        <v>0</v>
      </c>
      <c r="AN19" s="822">
        <f>IF(ISNUMBER(Datos!K19/Datos!J19),Datos!K19/Datos!J19," - ")</f>
        <v>1.0965147453083111</v>
      </c>
      <c r="AO19" s="822">
        <f>IF(ISNUMBER(FIND("06",Criterios!A8,1)),(IF(ISNUMBER(((Datos!R19/Datos!Q19)*11)/factor_trimestre),((Datos!R19/Datos!Q19)*11)/factor_trimestre," - ")),(IF(ISNUMBER(((Datos!L19/Datos!K19)*11)/factor_trimestre),((Datos!L19/Datos!K19)*11)/factor_trimestre," - ")))</f>
        <v>3.8679706601466992</v>
      </c>
      <c r="AP19" s="833" t="str">
        <f>IF(ISNUMBER(Datos!CI19/Datos!CJ19),Datos!CI19/Datos!CJ19," - ")</f>
        <v xml:space="preserve"> - </v>
      </c>
      <c r="AQ19" s="833">
        <f>IF(OR(ISNUMBER(FIND("01",Criterios!A8,1)),ISNUMBER(FIND("02",Criterios!A8,1)),ISNUMBER(FIND("03",Criterios!A8,1)),ISNUMBER(FIND("04",Criterios!A8,1))),(J19-Y19+K19)/(F19-K19),(I19-Y19+K19)/(F19-K19))</f>
        <v>-1.7</v>
      </c>
      <c r="AR19" s="833">
        <f>IF(ISNUMBER((Datos!P19-Datos!Q19+O19)/(Datos!R19-Datos!P19+Datos!Q19-O19)),(Datos!P19-Datos!Q19+O19)/(Datos!R19-Datos!P19+Datos!Q19-O19)," - ")</f>
        <v>2.7404381730412181E-2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566.66666666666663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974.49910210322923</v>
      </c>
      <c r="G21" s="551">
        <f>IF(ISNUMBER(STDEV(G8:G18)),STDEV(G8:G18),"-")</f>
        <v>865.49492584686277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471.17795647363073</v>
      </c>
      <c r="AK21" s="251"/>
      <c r="AL21" s="251">
        <f>IF(ISNUMBER(STDEV(AL8:AL18)),STDEV(AL8:AL18),"-")</f>
        <v>0</v>
      </c>
      <c r="AM21" s="253">
        <f>IF(ISNUMBER(STDEV(AM8:AM18)),STDEV(AM8:AM18),"-")</f>
        <v>0</v>
      </c>
      <c r="AN21" s="538">
        <f>IF(ISNUMBER(STDEV(AN8:AN18)),STDEV(AN8:AN18),"-")</f>
        <v>0</v>
      </c>
      <c r="AO21" s="539">
        <f>IF(ISNUMBER(STDEV(AO8:AO18)),STDEV(AO8:AO18),"-")</f>
        <v>2.9636613553001827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1fLzLNSuvqHh+vEyWSX9K/+Lt7bcpsIny8p8xfH9Ma+HOjtjiHCRpl6GHgJMw/PYTBDnmFY0+1Pn3IcpcUWH0g==" saltValue="njwTDdwaLytCvZeQ3CbR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JIEBNRnMFW2G/QdPZrxOM75z7ZXMJn80Ahpg0V23iaru81vDfwq9wyrqs74pShRTjO+VYOyD2pkQXd7lR1S6w==" saltValue="sFYZFVdyqB9k95S0nE8F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ClPvJX60qbzYXRgDW9a9cXP7PdiKqwPYO3EOOENXApDZSFB5AUM8FX6a60XR7D/3l9B0kziZkzvdeMjNylig==" saltValue="AnLk/pHl2KtPzlO5siS8c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CRISTOBAL DE LA LAGUNA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0.37959625090122567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0.26841508312524676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akEjqtRUvjiS11SYyebfrncvHGYqCq253LyiyK9lt2kMYXHNPq2vHO3OVRv/2aGsPb7eFVVRWpXINI9j6CBWg==" saltValue="USczFdM+Q+m42zNUrf5m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PTkLwGQGwPxxcQxwfRomHb6GBJRWXbozwb+W/Cb+VmwKUKjcPa4AHRYY6OgBT6GSOQk50qnfStQNeHbZgNNERQ==" saltValue="QNJAwnCBIx96duJFkIFQ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 CRISTOBAL DE LA LAGUNA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9377</v>
      </c>
      <c r="D9" s="403">
        <f>IF(ISNUMBER(C9/Datos!BH9),C9/Datos!BH9," - ")</f>
        <v>1339.5714285714287</v>
      </c>
      <c r="E9" s="402">
        <f>IF(ISNUMBER(IF(J_V="SI",Datos!J9,Datos!J9+Datos!Z9)),IF(J_V="SI",Datos!J9,Datos!J9+Datos!Z9)," - ")</f>
        <v>1923</v>
      </c>
      <c r="F9" s="403">
        <f>IF(ISNUMBER(E9/B9),E9/B9," - ")</f>
        <v>274.71428571428572</v>
      </c>
      <c r="G9" s="402">
        <f>IF(ISNUMBER(IF(J_V="SI",Datos!K9,Datos!K9+Datos!AA9)),IF(J_V="SI",Datos!K9,Datos!K9+Datos!AA9)," - ")</f>
        <v>2774</v>
      </c>
      <c r="H9" s="403">
        <f>IF(ISNUMBER(G9/B9),G9/B9," - ")</f>
        <v>396.28571428571428</v>
      </c>
      <c r="I9" s="402">
        <f>IF(ISNUMBER(IF(J_V="SI",Datos!L9,Datos!L9+Datos!AB9)),IF(J_V="SI",Datos!L9,Datos!L9+Datos!AB9)," - ")</f>
        <v>9055</v>
      </c>
      <c r="J9" s="403">
        <f>IF(ISNUMBER(I9/B9),I9/B9," - ")</f>
        <v>1293.5714285714287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9387</v>
      </c>
      <c r="D13" s="849" t="str">
        <f>IF(ISNUMBER(C13/Datos!BI13),C13/Datos!BI13," - ")</f>
        <v xml:space="preserve"> - </v>
      </c>
      <c r="E13" s="848">
        <f>SUBTOTAL(9,E8:E12)</f>
        <v>1923</v>
      </c>
      <c r="F13" s="849">
        <f>IF(ISNUMBER(E13/B13),E13/B13," - ")</f>
        <v>240.375</v>
      </c>
      <c r="G13" s="848">
        <f>SUBTOTAL(9,G8:G12)</f>
        <v>2774</v>
      </c>
      <c r="H13" s="849">
        <f>IF(ISNUMBER(G13/B13),G13/B13," - ")</f>
        <v>346.75</v>
      </c>
      <c r="I13" s="848">
        <f>SUBTOTAL(9,I8:I12)</f>
        <v>9057</v>
      </c>
      <c r="J13" s="849">
        <f>IF(ISNUMBER(I13/B13),I13/B13," - ")</f>
        <v>1132.125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1678</v>
      </c>
      <c r="D15" s="403">
        <f>IF(ISNUMBER(C15/Datos!BH15),C15/Datos!BH15," - ")</f>
        <v>419.5</v>
      </c>
      <c r="E15" s="402">
        <f>IF(ISNUMBER(IF(D_I="SI",Datos!J15,Datos!J15+Datos!AD15)),IF(D_I="SI",Datos!J15,Datos!J15+Datos!AD15)," - ")</f>
        <v>3382</v>
      </c>
      <c r="F15" s="403">
        <f>IF(ISNUMBER(E15/B15),E15/B15," - ")</f>
        <v>845.5</v>
      </c>
      <c r="G15" s="402">
        <f>IF(ISNUMBER(IF(D_I="SI",Datos!K15,Datos!K15+Datos!AE15)),IF(D_I="SI",Datos!K15,Datos!K15+Datos!AE15)," - ")</f>
        <v>3043</v>
      </c>
      <c r="H15" s="403">
        <f>IF(ISNUMBER(G15/B15),G15/B15," - ")</f>
        <v>760.75</v>
      </c>
      <c r="I15" s="402">
        <f>IF(ISNUMBER(IF(D_I="SI",Datos!L15,Datos!L15+Datos!AF15)),IF(D_I="SI",Datos!L15,Datos!L15+Datos!AF15)," - ")</f>
        <v>2118</v>
      </c>
      <c r="J15" s="403">
        <f>IF(ISNUMBER(I15/B15),I15/B15," - ")</f>
        <v>529.5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9</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9</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3</v>
      </c>
      <c r="J17" s="403">
        <f>IF(ISNUMBER(I17/B17),I17/B17," - ")</f>
        <v>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1690</v>
      </c>
      <c r="D18" s="849" t="str">
        <f>IF(ISNUMBER(C18/Datos!BI18),C18/Datos!BI18," - ")</f>
        <v xml:space="preserve"> - </v>
      </c>
      <c r="E18" s="848">
        <f>SUBTOTAL(9,E14:E17)</f>
        <v>3382</v>
      </c>
      <c r="F18" s="849">
        <f>IF(ISNUMBER(E18/B18),E18/B18," - ")</f>
        <v>845.5</v>
      </c>
      <c r="G18" s="848">
        <f>SUBTOTAL(9,G14:G17)</f>
        <v>3043</v>
      </c>
      <c r="H18" s="849">
        <f>IF(ISNUMBER(G18/B18),G18/B18," - ")</f>
        <v>760.75</v>
      </c>
      <c r="I18" s="848">
        <f>SUBTOTAL(9,I14:I17)</f>
        <v>2130</v>
      </c>
      <c r="J18" s="849">
        <f>IF(ISNUMBER(I18/B18),I18/B18," - ")</f>
        <v>532.5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11077</v>
      </c>
      <c r="D19" s="794" t="str">
        <f>IF(ISNUMBER(C19/Datos!BI19),C19/Datos!BI19," - ")</f>
        <v xml:space="preserve"> - </v>
      </c>
      <c r="E19" s="793">
        <f>SUBTOTAL(9,E9:E18)</f>
        <v>5305</v>
      </c>
      <c r="F19" s="794">
        <f>IF(ISNUMBER(E19/B19),E19/B19," - ")</f>
        <v>442.08333333333331</v>
      </c>
      <c r="G19" s="793">
        <f>SUBTOTAL(9,G9:G18)</f>
        <v>5817</v>
      </c>
      <c r="H19" s="794">
        <f>IF(ISNUMBER(G19/B19),G19/B19," - ")</f>
        <v>484.75</v>
      </c>
      <c r="I19" s="793">
        <f>SUBTOTAL(9,I9:I18)</f>
        <v>11187</v>
      </c>
      <c r="J19" s="794">
        <f>IF(ISNUMBER(I19/B19),I19/B19," - ")</f>
        <v>932.25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IJhe2oVg1YA2XY2vYqmvbWHnBMFnR1ia2dXfYc3txGVaWEMUuwqdLaJn3pbYvKCc23AuTRFLaF/dYTmi5PWAw==" saltValue="yJKc6CbAK0EufATV1J8p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 CRISTOBAL DE LA LAGUNA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2</v>
      </c>
      <c r="G13" s="937">
        <f t="shared" si="0"/>
        <v>10</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0</v>
      </c>
      <c r="AE13" s="938">
        <f t="shared" si="1"/>
        <v>0</v>
      </c>
      <c r="AF13" s="938">
        <f t="shared" si="1"/>
        <v>2</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f t="shared" si="1"/>
        <v>0</v>
      </c>
      <c r="AP13" s="943">
        <f>IF(ISNUMBER(((Datos!L13/Datos!K13)*11)/factor_trimestre),((Datos!L13/Datos!K13)*11)/factor_trimestre," - ")</f>
        <v>6.6671636228102873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1.3999342753861321</v>
      </c>
      <c r="AQ18" s="943">
        <f>IF(ISNUMBER(((Datos!M18/Datos!L18)*11)/factor_trimestre),((Datos!M18/Datos!L18)*11)/factor_trimestre," - ")</f>
        <v>0.36525821596244135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-6.8093385214007776E-2</v>
      </c>
      <c r="AW18" s="945">
        <f>IF(ISNUMBER((Datos!Q18-Datos!R18)/(Datos!S18-Datos!Q18+Datos!R18)),(Datos!Q18-Datos!R18)/(Datos!S18-Datos!Q18+Datos!R18)," - ")</f>
        <v>-0.1369278510473235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2</v>
      </c>
      <c r="G19" s="950">
        <f t="shared" si="4"/>
        <v>10</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0</v>
      </c>
      <c r="AE19" s="956">
        <f t="shared" si="5"/>
        <v>0</v>
      </c>
      <c r="AF19" s="957">
        <f t="shared" si="5"/>
        <v>2</v>
      </c>
      <c r="AG19" s="957">
        <f t="shared" si="5"/>
        <v>0</v>
      </c>
      <c r="AH19" s="957">
        <f t="shared" si="5"/>
        <v>0</v>
      </c>
      <c r="AI19" s="957">
        <f t="shared" si="5"/>
        <v>0</v>
      </c>
      <c r="AJ19" s="958">
        <f t="shared" si="5"/>
        <v>0</v>
      </c>
      <c r="AK19" s="958">
        <f t="shared" si="5"/>
        <v>0</v>
      </c>
      <c r="AL19" s="950">
        <f t="shared" si="5"/>
        <v>0</v>
      </c>
      <c r="AM19" s="950">
        <f t="shared" si="5"/>
        <v>0</v>
      </c>
      <c r="AN19" s="950">
        <f t="shared" si="5"/>
        <v>0</v>
      </c>
      <c r="AO19" s="950">
        <f t="shared" si="5"/>
        <v>0</v>
      </c>
      <c r="AP19" s="950">
        <f>IF(ISNUMBER(((Datos!L19/Datos!K19)*11)/factor_trimestre),((Datos!L19/Datos!K19)*11)/factor_trimestre," - ")</f>
        <v>3.8679706601466992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2.7404381730412181E-2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1.1547005383792517</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0</v>
      </c>
      <c r="AM21" s="735"/>
      <c r="AN21" s="735">
        <f>IF(ISNUMBER(STDEV(AN8:AN18)),STDEV(AN8:AN18),"-")</f>
        <v>0</v>
      </c>
      <c r="AO21" s="741">
        <f>IF(ISNUMBER(STDEV(AO8:AO18)),STDEV(AO8:AO18),"-")</f>
        <v>0</v>
      </c>
      <c r="AP21" s="778">
        <f>IF(ISNUMBER(STDEV(AP8:AP18)),STDEV(AP8:AP18),"-")</f>
        <v>3.7244935896284139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2OuE+xSR1EiFSrcgro4jPeWJ4mcmyi58irBhsmtpFKdakUpLdKdbDcjMeXHwCxDOY60EDHZjMIp/2YbHT1SjA==" saltValue="ktE/9DdG4ezHSaR6BXoy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 CRISTOBAL DE LA LAGUNA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f>IF(ISNUMBER(E11/Datos!BH11),E11/Datos!BH11," - ")</f>
        <v>0</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lbtnhvpDQu1W3WbqYGDP4/aUSWRShVP3FC0yCuai4BREQIePJhy7GTXb5MLp7i0flgv6QfGvZBwMI0MFhTPpg==" saltValue="KonhneDWetiQ0uawGhSp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 CRISTOBAL DE LA LAGUNA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1053</v>
      </c>
      <c r="E9" s="403">
        <f t="shared" ref="E9:E13" si="0">IF(ISNUMBER(D9/B9),D9/B9," - ")</f>
        <v>150.42857142857142</v>
      </c>
      <c r="F9" s="402">
        <f>IF(ISNUMBER(Datos!N9),Datos!N9," - ")</f>
        <v>1070</v>
      </c>
      <c r="G9" s="403">
        <f t="shared" ref="G9:G13" si="1">IF(ISNUMBER(F9/B9),F9/B9," - ")</f>
        <v>152.85714285714286</v>
      </c>
      <c r="H9" s="402">
        <f>IF(ISNUMBER(Datos!O9),Datos!O9," - ")</f>
        <v>1030</v>
      </c>
      <c r="I9" s="403">
        <f>IF(ISNUMBER(H9/B9),H9/B9," - ")</f>
        <v>147.14285714285714</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1</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7</v>
      </c>
      <c r="D13" s="848">
        <f>SUBTOTAL(9,D9:D12)</f>
        <v>1053</v>
      </c>
      <c r="E13" s="849">
        <f t="shared" si="0"/>
        <v>131.625</v>
      </c>
      <c r="F13" s="848">
        <f>SUBTOTAL(9,F9:F12)</f>
        <v>1070</v>
      </c>
      <c r="G13" s="849">
        <f t="shared" si="1"/>
        <v>133.75</v>
      </c>
      <c r="H13" s="848">
        <f>SUBTOTAL(9,H9:H12)</f>
        <v>1030</v>
      </c>
      <c r="I13" s="849">
        <f>IF(ISNUMBER(H13/B13),H13/B13," - ")</f>
        <v>128.75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389</v>
      </c>
      <c r="E15" s="403">
        <f t="shared" ref="E15:E18" si="3">IF(ISNUMBER(D15/B15),D15/B15," - ")</f>
        <v>97.25</v>
      </c>
      <c r="F15" s="402">
        <f>IF(ISNUMBER(Datos!N15),Datos!N15," - ")</f>
        <v>2094</v>
      </c>
      <c r="G15" s="403">
        <f t="shared" ref="G15:G18" si="4">IF(ISNUMBER(F15/B15),F15/B15," - ")</f>
        <v>523.5</v>
      </c>
      <c r="H15" s="402">
        <f>IF(ISNUMBER(Datos!O15),Datos!O15," - ")</f>
        <v>24</v>
      </c>
      <c r="I15" s="403">
        <f t="shared" ref="I15:I17" si="5">IF(ISNUMBER(H15/B15),H15/B15," - ")</f>
        <v>6</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389</v>
      </c>
      <c r="E18" s="849">
        <f t="shared" si="3"/>
        <v>97.25</v>
      </c>
      <c r="F18" s="848">
        <f>SUBTOTAL(9,F15:F17)</f>
        <v>2094</v>
      </c>
      <c r="G18" s="849">
        <f t="shared" si="4"/>
        <v>523.5</v>
      </c>
      <c r="H18" s="848">
        <f>SUBTOTAL(9,H15:H17)</f>
        <v>24</v>
      </c>
      <c r="I18" s="849">
        <f>IF(ISNUMBER(H18/B18),H18/B18," - ")</f>
        <v>6</v>
      </c>
      <c r="BZ18" s="1185"/>
    </row>
    <row r="19" spans="1:78" ht="14.25" thickTop="1" thickBot="1">
      <c r="A19" s="792" t="str">
        <f>Datos!A19</f>
        <v>TOTAL JURISDICCIONES</v>
      </c>
      <c r="B19" s="793">
        <f>Datos!AP19</f>
        <v>12</v>
      </c>
      <c r="C19" s="793">
        <f>Datos!AR19</f>
        <v>11</v>
      </c>
      <c r="D19" s="793">
        <f>SUBTOTAL(9,D8:D18)</f>
        <v>1442</v>
      </c>
      <c r="E19" s="794">
        <f>IF(ISNUMBER(D19/B19),D19/B19," - ")</f>
        <v>120.16666666666667</v>
      </c>
      <c r="F19" s="793">
        <f>SUBTOTAL(9,F8:F18)</f>
        <v>3164</v>
      </c>
      <c r="G19" s="794">
        <f>IF(ISNUMBER(F19/B19),F19/B19," - ")</f>
        <v>263.66666666666669</v>
      </c>
      <c r="H19" s="793">
        <f>SUBTOTAL(9,H8:H18)</f>
        <v>1054</v>
      </c>
      <c r="I19" s="794">
        <f>IF(ISNUMBER(H19/B19),H19/B19," - ")</f>
        <v>87.833333333333329</v>
      </c>
    </row>
    <row r="22" spans="1:78">
      <c r="A22" s="390" t="str">
        <f>Criterios!A4</f>
        <v>Fecha Informe: 09 dic. 2025</v>
      </c>
    </row>
    <row r="27" spans="1:78">
      <c r="A27" s="413"/>
    </row>
  </sheetData>
  <sheetProtection algorithmName="SHA-512" hashValue="JDchnJxJKDo38BHn1T7yZLO47stX7qu85vlsFQiJ88a+mdMfGFjO6rpa9QcCz+g7/GjzBFT0r6BnLOM6LUwP5g==" saltValue="wJh4kwdUYaVrJngslj+H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 CRISTOBAL DE LA LAGUNA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1192</v>
      </c>
      <c r="C9" s="433">
        <f>IF(ISNUMBER(Datos!Q9),Datos!Q9," - ")</f>
        <v>788</v>
      </c>
      <c r="D9" s="407">
        <f>IF(ISNUMBER(Datos!R9),Datos!R9," - ")</f>
        <v>13290</v>
      </c>
    </row>
    <row r="10" spans="1:4">
      <c r="A10" s="401" t="str">
        <f>Datos!A10</f>
        <v>Jdos. Violencia contra la mujer/Secc Viol. TI.</v>
      </c>
      <c r="B10" s="432">
        <f>IF(ISNUMBER(Datos!P10),Datos!P10," - ")</f>
        <v>0</v>
      </c>
      <c r="C10" s="433">
        <f>IF(ISNUMBER(Datos!Q10),Datos!Q10," - ")</f>
        <v>0</v>
      </c>
      <c r="D10" s="407">
        <f>IF(ISNUMBER(Datos!R10),Datos!R10," - ")</f>
        <v>65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1192</v>
      </c>
      <c r="C13" s="852">
        <f>SUBTOTAL(9,C9:C12)</f>
        <v>788</v>
      </c>
      <c r="D13" s="850">
        <f>SUBTOTAL(9,D9:D12)</f>
        <v>13355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91</v>
      </c>
      <c r="C15" s="433">
        <f>IF(ISNUMBER(Datos!Q15),Datos!Q15," - ")</f>
        <v>126</v>
      </c>
      <c r="D15" s="407">
        <f>IF(ISNUMBER(Datos!R15),Datos!R15," - ")</f>
        <v>479</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91</v>
      </c>
      <c r="C18" s="852">
        <f>SUBTOTAL(9,C15:C17)</f>
        <v>126</v>
      </c>
      <c r="D18" s="850">
        <f>SUBTOTAL(9,D15:D17)</f>
        <v>479</v>
      </c>
    </row>
    <row r="19" spans="1:4" ht="16.5" customHeight="1" thickTop="1" thickBot="1">
      <c r="A19" s="792" t="str">
        <f>Datos!A19</f>
        <v>TOTAL JURISDICCIONES</v>
      </c>
      <c r="B19" s="797">
        <f>SUBTOTAL(9,B8:B18)</f>
        <v>1283</v>
      </c>
      <c r="C19" s="798">
        <f>SUBTOTAL(9,C8:C18)</f>
        <v>914</v>
      </c>
      <c r="D19" s="799">
        <f>SUBTOTAL(9,D8:D18)</f>
        <v>13834</v>
      </c>
    </row>
    <row r="20" spans="1:4" ht="7.5" customHeight="1"/>
    <row r="21" spans="1:4" ht="6" customHeight="1"/>
    <row r="22" spans="1:4">
      <c r="A22" s="390" t="str">
        <f>Criterios!A4</f>
        <v>Fecha Informe: 09 dic. 2025</v>
      </c>
    </row>
    <row r="27" spans="1:4">
      <c r="A27" s="413"/>
    </row>
  </sheetData>
  <sheetProtection algorithmName="SHA-512" hashValue="tKe7vr43UO1QO3DB8TSAPbpgURMFEc+hlqxsSA++vljGJddAjT3pu9SWOE8pThea2HxYQnl8gzRa4q86PeU5fg==" saltValue="x4Q46+9sAY/mtbHr5ILF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 CRISTOBAL DE LA LAGUNA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-9.5408064827320088E-2</v>
      </c>
      <c r="C9" s="455">
        <f>IF(ISNUMBER(
   IF(J_V="SI",(Datos!J9-Datos!T9)/Datos!T9,(Datos!J9+Datos!Z9-(Datos!T9+Datos!AH9))/(Datos!T9+Datos!AH9))
     ),IF(J_V="SI",(Datos!J9-Datos!T9)/Datos!T9,(Datos!J9+Datos!Z9-(Datos!T9+Datos!AH9))/(Datos!T9+Datos!AH9))," - ")</f>
        <v>-0.383060635226179</v>
      </c>
      <c r="D9" s="455">
        <f>IF(ISNUMBER(
   IF(J_V="SI",(Datos!K9-Datos!U9)/Datos!U9,(Datos!K9+Datos!AA9-(Datos!U9+Datos!AI9))/(Datos!U9+Datos!AI9))
     ),IF(J_V="SI",(Datos!K9-Datos!U9)/Datos!U9,(Datos!K9+Datos!AA9-(Datos!U9+Datos!AI9))/(Datos!U9+Datos!AI9))," - ")</f>
        <v>-0.25570163670512475</v>
      </c>
      <c r="E9" s="455">
        <f>IF(ISNUMBER(
   IF(J_V="SI",(Datos!L9-Datos!V9)/Datos!V9,(Datos!L9+Datos!AB9-(Datos!V9+Datos!AJ9))/(Datos!V9+Datos!AJ9))
     ),IF(J_V="SI",(Datos!L9-Datos!V9)/Datos!V9,(Datos!L9+Datos!AB9-(Datos!V9+Datos!AJ9))/(Datos!V9+Datos!AJ9))," - ")</f>
        <v>-8.0523964256701872E-2</v>
      </c>
      <c r="F9" s="455">
        <f>IF(ISNUMBER((Datos!M9-Datos!W9)/Datos!W9),(Datos!M9-Datos!W9)/Datos!W9," - ")</f>
        <v>-0.1830876648564779</v>
      </c>
      <c r="G9" s="456">
        <f>IF(ISNUMBER((Datos!N9-Datos!X9)/Datos!X9),(Datos!N9-Datos!X9)/Datos!X9," - ")</f>
        <v>-0.25435540069686413</v>
      </c>
      <c r="H9" s="454">
        <f>IF(ISNUMBER(((NºAsuntos!G9/NºAsuntos!E9)-Datos!BD9)/Datos!BD9),((NºAsuntos!G9/NºAsuntos!E9)-Datos!BD9)/Datos!BD9," - ")</f>
        <v>0.20643681663553085</v>
      </c>
      <c r="I9" s="455">
        <f>IF(ISNUMBER(((NºAsuntos!I9/NºAsuntos!G9)-Datos!BE9)/Datos!BE9),((NºAsuntos!I9/NºAsuntos!G9)-Datos!BE9)/Datos!BE9," - ")</f>
        <v>0.23535947556426545</v>
      </c>
      <c r="J9" s="460">
        <f>IF(ISNUMBER((('Resol  Asuntos'!D9/NºAsuntos!G9)-Datos!BF9)/Datos!BF9),(('Resol  Asuntos'!D9/NºAsuntos!G9)-Datos!BF9)/Datos!BF9," - ")</f>
        <v>-1.4107855673262721E-2</v>
      </c>
      <c r="K9" s="461">
        <f>IF(ISNUMBER((((NºAsuntos!C9+NºAsuntos!E9)/NºAsuntos!G9)-Datos!BG9)/Datos!BG9),(((NºAsuntos!C9+NºAsuntos!E9)/NºAsuntos!G9)-Datos!BG9)/Datos!BG9," - ")</f>
        <v>0.12601673468381583</v>
      </c>
    </row>
    <row r="10" spans="1:11" ht="21">
      <c r="A10" s="401" t="str">
        <f>Datos!A10</f>
        <v>Jdos. Violencia contra la mujer/Secc Viol. TI.</v>
      </c>
      <c r="B10" s="454">
        <f>IF(ISNUMBER((Datos!I10-Datos!S10)/Datos!S10),(Datos!I10-Datos!S10)/Datos!S10," - ")</f>
        <v>-0.23076923076923078</v>
      </c>
      <c r="C10" s="455">
        <f>IF(ISNUMBER((Datos!J10-Datos!T10)/Datos!T10),(Datos!J10-Datos!T10)/Datos!T10," - ")</f>
        <v>-1</v>
      </c>
      <c r="D10" s="455">
        <f>IF(ISNUMBER((Datos!K10-Datos!U10)/Datos!U10),(Datos!K10-Datos!U10)/Datos!U10," - ")</f>
        <v>-1</v>
      </c>
      <c r="E10" s="455">
        <f>IF(ISNUMBER((Datos!L10-Datos!V10)/Datos!V10),(Datos!L10-Datos!V10)/Datos!V10," - ")</f>
        <v>-0.84615384615384615</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-9.5577608632816266E-2</v>
      </c>
      <c r="C13" s="854">
        <f>IF(ISNUMBER(
   IF(J_V="SI",(Datos!J13-Datos!T13)/Datos!T13,(Datos!J13+Datos!Z13-(Datos!T13+Datos!AH13))/(Datos!T13+Datos!AH13))
     ),IF(J_V="SI",(Datos!J13-Datos!T13)/Datos!T13,(Datos!J13+Datos!Z13-(Datos!T13+Datos!AH13))/(Datos!T13+Datos!AH13))," - ")</f>
        <v>-0.38503357850975378</v>
      </c>
      <c r="D13" s="854">
        <f>IF(ISNUMBER(
   IF(J_V="SI",(Datos!K13-Datos!U13)/Datos!U13,(Datos!K13+Datos!AA13-(Datos!U13+Datos!AI13))/(Datos!U13+Datos!AI13))
     ),IF(J_V="SI",(Datos!K13-Datos!U13)/Datos!U13,(Datos!K13+Datos!AA13-(Datos!U13+Datos!AI13))/(Datos!U13+Datos!AI13))," - ")</f>
        <v>-0.25769333690125767</v>
      </c>
      <c r="E13" s="854">
        <f>IF(ISNUMBER(
   IF(J_V="SI",(Datos!L13-Datos!V13)/Datos!V13,(Datos!L13+Datos!AB13-(Datos!V13+Datos!AJ13))/(Datos!V13+Datos!AJ13))
     ),IF(J_V="SI",(Datos!L13-Datos!V13)/Datos!V13,(Datos!L13+Datos!AB13-(Datos!V13+Datos!AJ13))/(Datos!V13+Datos!AJ13))," - ")</f>
        <v>-8.153331305141466E-2</v>
      </c>
      <c r="F13" s="855">
        <f>IF(ISNUMBER((Datos!M13-Datos!W13)/Datos!W13),(Datos!M13-Datos!W13)/Datos!W13," - ")</f>
        <v>-0.18435321456235476</v>
      </c>
      <c r="G13" s="856">
        <f>IF(ISNUMBER((Datos!N13-Datos!X13)/Datos!X13),(Datos!N13-Datos!X13)/Datos!X13," - ")</f>
        <v>-0.25591098748261476</v>
      </c>
      <c r="H13" s="856">
        <f>IF(ISNUMBER(((NºAsuntos!G13/NºAsuntos!E13)-Datos!BD13)/Datos!BD13),((NºAsuntos!G13/NºAsuntos!E13)-Datos!BD13)/Datos!BD13," - ")</f>
        <v>0.20706860920944725</v>
      </c>
      <c r="I13" s="856">
        <f>IF(ISNUMBER(((NºAsuntos!I13/NºAsuntos!G13)-Datos!BE13)/Datos!BE13),((NºAsuntos!I13/NºAsuntos!G13)-Datos!BE13)/Datos!BE13," - ")</f>
        <v>0.23731435080276253</v>
      </c>
      <c r="J13" s="856">
        <f>IF(ISNUMBER((('Resol  Asuntos'!D13/NºAsuntos!G13)-Datos!BF13)/Datos!BF13),(('Resol  Asuntos'!D13/NºAsuntos!G13)-Datos!BF13)/Datos!BF13," - ")</f>
        <v>-1.2838420586026193E-2</v>
      </c>
      <c r="K13" s="856">
        <f>IF(ISNUMBER((((NºAsuntos!C13+NºAsuntos!E13)/NºAsuntos!G13)-Datos!BG13)/Datos!BG13),(((NºAsuntos!C13+NºAsuntos!E13)/NºAsuntos!G13)-Datos!BG13)/Datos!BG13," - ")</f>
        <v>0.12811273176032958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-0.23413966225467822</v>
      </c>
      <c r="C15" s="455">
        <f>IF(ISNUMBER(
   IF(D_I="SI",(Datos!J15-Datos!T15)/Datos!T15,(Datos!J15+Datos!AD15-(Datos!T15+Datos!AL15))/(Datos!T15+Datos!AL15))
     ),IF(D_I="SI",(Datos!J15-Datos!T15)/Datos!T15,(Datos!J15+Datos!AD15-(Datos!T15+Datos!AL15))/(Datos!T15+Datos!AL15))," - ")</f>
        <v>8.0511182108626192E-2</v>
      </c>
      <c r="D15" s="455">
        <f>IF(ISNUMBER(
   IF(D_I="SI",(Datos!K15-Datos!U15)/Datos!U15,(Datos!K15+Datos!AE15-(Datos!U15+Datos!AM15))/(Datos!U15+Datos!AM15))
     ),IF(D_I="SI",(Datos!K15-Datos!U15)/Datos!U15,(Datos!K15+Datos!AE15-(Datos!U15+Datos!AM15))/(Datos!U15+Datos!AM15))," - ")</f>
        <v>-9.6764618581181364E-2</v>
      </c>
      <c r="E15" s="455">
        <f>IF(ISNUMBER(
   IF(D_I="SI",(Datos!L15-Datos!V15)/Datos!V15,(Datos!L15+Datos!AF15-(Datos!V15+Datos!AN15))/(Datos!V15+Datos!AN15))
     ),IF(D_I="SI",(Datos!L15-Datos!V15)/Datos!V15,(Datos!L15+Datos!AF15-(Datos!V15+Datos!AN15))/(Datos!V15+Datos!AN15))," - ")</f>
        <v>5.7413879181228158E-2</v>
      </c>
      <c r="F15" s="455">
        <f>IF(ISNUMBER((Datos!M15-Datos!W15)/Datos!W15),(Datos!M15-Datos!W15)/Datos!W15," - ")</f>
        <v>-4.8899755501222497E-2</v>
      </c>
      <c r="G15" s="456">
        <f>IF(ISNUMBER((Datos!N15-Datos!X15)/Datos!X15),(Datos!N15-Datos!X15)/Datos!X15," - ")</f>
        <v>8.670520231213872E-3</v>
      </c>
      <c r="H15" s="454">
        <f>IF(ISNUMBER(((NºAsuntos!G15/NºAsuntos!E15)-Datos!BD15)/Datos!BD15),((NºAsuntos!G15/NºAsuntos!E15)-Datos!BD15)/Datos!BD15," - ")</f>
        <v>-0.1640666044231513</v>
      </c>
      <c r="I15" s="455">
        <f>IF(ISNUMBER(((NºAsuntos!I15/NºAsuntos!G15)-Datos!BE15)/Datos!BE15),((NºAsuntos!I15/NºAsuntos!G15)-Datos!BE15)/Datos!BE15," - ")</f>
        <v>0.17069581300084047</v>
      </c>
      <c r="J15" s="460">
        <f>IF(ISNUMBER((('Resol  Asuntos'!D15/NºAsuntos!G15)-Datos!BF15)/Datos!BF15),(('Resol  Asuntos'!D15/NºAsuntos!G15)-Datos!BF15)/Datos!BF15," - ")</f>
        <v>5.2992679499303898E-2</v>
      </c>
      <c r="K15" s="461">
        <f>IF(ISNUMBER((((NºAsuntos!C15+NºAsuntos!E15)/NºAsuntos!G15)-Datos!BG15)/Datos!BG15),(((NºAsuntos!C15+NºAsuntos!E15)/NºAsuntos!G15)-Datos!BG15)/Datos!BG15," - ")</f>
        <v>5.282530920120504E-2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-0.1</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-0.875</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-0.85</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-0.24044943820224718</v>
      </c>
      <c r="C18" s="854">
        <f>IF(ISNUMBER(
   IF(Criterios!B14="SI",(Datos!J18-Datos!T18)/Datos!T18,(Datos!J18+Datos!AD18-(Datos!T18+Datos!AL18))/(Datos!T18+Datos!AL18))
     ),IF(Criterios!B14="SI",(Datos!J18-Datos!T18)/Datos!T18,(Datos!J18+Datos!AD18-(Datos!T18+Datos!AL18))/(Datos!T18+Datos!AL18))," - ")</f>
        <v>8.0511182108626192E-2</v>
      </c>
      <c r="D18" s="854">
        <f>IF(ISNUMBER(
   IF(Criterios!B14="SI",(Datos!K18-Datos!U18)/Datos!U18,(Datos!K18+Datos!AE18-(Datos!U18+Datos!AM18))/(Datos!U18+Datos!AM18))
     ),IF(Criterios!B14="SI",(Datos!K18-Datos!U18)/Datos!U18,(Datos!K18+Datos!AE18-(Datos!U18+Datos!AM18))/(Datos!U18+Datos!AM18))," - ")</f>
        <v>-9.7835754521197749E-2</v>
      </c>
      <c r="E18" s="854">
        <f>IF(ISNUMBER(
   IF(Criterios!B14="SI",(Datos!L18-Datos!V18)/Datos!V18,(Datos!L18+Datos!AF18-(Datos!V18+Datos!AN18))/(Datos!V18+Datos!AN18))
     ),IF(Criterios!B14="SI",(Datos!L18-Datos!V18)/Datos!V18,(Datos!L18+Datos!AF18-(Datos!V18+Datos!AN18))/(Datos!V18+Datos!AN18))," - ")</f>
        <v>4.7712739793408752E-2</v>
      </c>
      <c r="F18" s="855">
        <f>IF(ISNUMBER((Datos!M18-Datos!W18)/Datos!W18),(Datos!M18-Datos!W18)/Datos!W18," - ")</f>
        <v>-4.8899755501222497E-2</v>
      </c>
      <c r="G18" s="856">
        <f>IF(ISNUMBER((Datos!N18-Datos!X18)/Datos!X18),(Datos!N18-Datos!X18)/Datos!X18," - ")</f>
        <v>8.670520231213872E-3</v>
      </c>
      <c r="H18" s="856">
        <f>IF(ISNUMBER(((NºAsuntos!G18/NºAsuntos!E18)-Datos!BD18)/Datos!BD18),((NºAsuntos!G18/NºAsuntos!E18)-Datos!BD18)/Datos!BD18," - ")</f>
        <v>-0.16505792775025094</v>
      </c>
      <c r="I18" s="856">
        <f>IF(ISNUMBER(((NºAsuntos!I18/NºAsuntos!G18)-Datos!BE18)/Datos!BE18),((NºAsuntos!I18/NºAsuntos!G18)-Datos!BE18)/Datos!BE18," - ")</f>
        <v>0.16133258998460981</v>
      </c>
      <c r="J18" s="856">
        <f>IF(ISNUMBER((('Resol  Asuntos'!D18/NºAsuntos!G18)-Datos!BF18)/Datos!BF18),(('Resol  Asuntos'!D18/NºAsuntos!G18)-Datos!BF18)/Datos!BF18," - ")</f>
        <v>5.4242893425690705E-2</v>
      </c>
      <c r="K18" s="856">
        <f>IF(ISNUMBER((((NºAsuntos!C18+NºAsuntos!E18)/NºAsuntos!G18)-Datos!BG18)/Datos!BG18),(((NºAsuntos!C18+NºAsuntos!E18)/NºAsuntos!G18)-Datos!BG18)/Datos!BG18," - ")</f>
        <v>4.9866694404785722E-2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-0.12115201523325929</v>
      </c>
      <c r="C19" s="801">
        <f>IF(ISNUMBER(
   IF(J_V="SI",(Datos!J19-Datos!T19)/Datos!T19,(Datos!J19+Datos!Z19-(Datos!T19+Datos!AH19))/(Datos!T19+Datos!AH19))
     ),IF(J_V="SI",(Datos!J19-Datos!T19)/Datos!T19,(Datos!J19+Datos!Z19-(Datos!T19+Datos!AH19))/(Datos!T19+Datos!AH19))," - ")</f>
        <v>-0.15214959245644877</v>
      </c>
      <c r="D19" s="801">
        <f>IF(ISNUMBER(
   IF(J_V="SI",(Datos!K19-Datos!U19)/Datos!U19,(Datos!K19+Datos!AA19-(Datos!U19+Datos!AI19))/(Datos!U19+Datos!AI19))
     ),IF(J_V="SI",(Datos!K19-Datos!U19)/Datos!U19,(Datos!K19+Datos!AA19-(Datos!U19+Datos!AI19))/(Datos!U19+Datos!AI19))," - ")</f>
        <v>-0.18185654008438817</v>
      </c>
      <c r="E19" s="801">
        <f>IF(ISNUMBER(
   IF(J_V="SI",(Datos!L19-Datos!V19)/Datos!V19,(Datos!L19+Datos!AB19-(Datos!V19+Datos!AJ19))/(Datos!V19+Datos!AJ19))
     ),IF(J_V="SI",(Datos!L19-Datos!V19)/Datos!V19,(Datos!L19+Datos!AB19-(Datos!V19+Datos!AJ19))/(Datos!V19+Datos!AJ19))," - ")</f>
        <v>-5.9441735328737179E-2</v>
      </c>
      <c r="F19" s="802">
        <f>IF(ISNUMBER((Datos!M19-Datos!W19)/Datos!W19),(Datos!M19-Datos!W19)/Datos!W19," - ")</f>
        <v>-0.15176470588235294</v>
      </c>
      <c r="G19" s="803">
        <f>IF(ISNUMBER((Datos!N19-Datos!X19)/Datos!X19),(Datos!N19-Datos!X19)/Datos!X19," - ")</f>
        <v>-9.9601593625498003E-2</v>
      </c>
      <c r="H19" s="804">
        <f>IF(ISNUMBER((Tasas!B19-Datos!BD19)/Datos!BD19),(Tasas!B19-Datos!BD19)/Datos!BD19," - ")</f>
        <v>-3.5037958776252008E-2</v>
      </c>
      <c r="I19" s="805">
        <f>IF(ISNUMBER((Tasas!C19-Datos!BE19)/Datos!BE19),(Tasas!C19-Datos!BE19)/Datos!BE19," - ")</f>
        <v>0.14962510947441607</v>
      </c>
      <c r="J19" s="806">
        <f>IF(ISNUMBER((Tasas!D19-Datos!BF19)/Datos!BF19),(Tasas!D19-Datos!BF19)/Datos!BF19," - ")</f>
        <v>-4.5218268790750547E-2</v>
      </c>
      <c r="K19" s="806">
        <f>IF(ISNUMBER((Tasas!E19-Datos!BG19)/Datos!BG19),(Tasas!E19-Datos!BG19)/Datos!BG19," - ")</f>
        <v>6.162892673823768E-2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pbRafEKwcGG7YACJZ4Y48QEoz9zBWE3fIHw9terEJp4zSPqUVkj1yponA/pOQfhpM1sF74QLFfPyM1F9/5omg==" saltValue="0yMFve3OIu8QjvxE2SlM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 CRISTOBAL DE LA LAGUNA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1.4425377015080603</v>
      </c>
      <c r="C9" s="442">
        <f>IF(ISNUMBER(NºAsuntos!I9/NºAsuntos!G9),NºAsuntos!I9/NºAsuntos!G9," - ")</f>
        <v>3.2642393655371307</v>
      </c>
      <c r="D9" s="443">
        <f>IF(ISNUMBER('Resol  Asuntos'!D9/NºAsuntos!G9),'Resol  Asuntos'!D9/NºAsuntos!G9," - ")</f>
        <v>0.37959625090122567</v>
      </c>
      <c r="E9" s="444">
        <f>IF(ISNUMBER((NºAsuntos!C9+NºAsuntos!E9)/NºAsuntos!G9),(NºAsuntos!C9+NºAsuntos!E9)/NºAsuntos!G9," - ")</f>
        <v>4.0735400144196108</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1.4425377015080603</v>
      </c>
      <c r="C13" s="858">
        <f>IF(ISNUMBER(NºAsuntos!I13/NºAsuntos!G13),NºAsuntos!I13/NºAsuntos!G13," - ")</f>
        <v>3.264960346070656</v>
      </c>
      <c r="D13" s="859">
        <f>IF(ISNUMBER('Resol  Asuntos'!D13/NºAsuntos!G13),'Resol  Asuntos'!D13/NºAsuntos!G13," - ")</f>
        <v>0.37959625090122567</v>
      </c>
      <c r="E13" s="860">
        <f>IF(ISNUMBER((NºAsuntos!C13+NºAsuntos!E13)/NºAsuntos!G13),(NºAsuntos!C13+NºAsuntos!E13)/NºAsuntos!G13," - ")</f>
        <v>4.0771449170872387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0.89976345357776466</v>
      </c>
      <c r="C15" s="442">
        <f>IF(ISNUMBER(NºAsuntos!I15/NºAsuntos!G15),NºAsuntos!I15/NºAsuntos!G15," - ")</f>
        <v>0.69602366086099243</v>
      </c>
      <c r="D15" s="443">
        <f>IF(ISNUMBER('Resol  Asuntos'!D15/NºAsuntos!G15),'Resol  Asuntos'!D15/NºAsuntos!G15," - ")</f>
        <v>0.12783437397305292</v>
      </c>
      <c r="E15" s="444">
        <f>IF(ISNUMBER((NºAsuntos!C15+NºAsuntos!E15)/NºAsuntos!G15),(NºAsuntos!C15+NºAsuntos!E15)/NºAsuntos!G15," - ")</f>
        <v>1.6628327308577062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0.89976345357776466</v>
      </c>
      <c r="C18" s="858">
        <f>IF(ISNUMBER(NºAsuntos!I18/NºAsuntos!G18),NºAsuntos!I18/NºAsuntos!G18," - ")</f>
        <v>0.69996713769306607</v>
      </c>
      <c r="D18" s="861">
        <f>IF(ISNUMBER('Resol  Asuntos'!D18/NºAsuntos!G18),'Resol  Asuntos'!D18/NºAsuntos!G18," - ")</f>
        <v>0.12783437397305292</v>
      </c>
      <c r="E18" s="860">
        <f>IF(ISNUMBER((NºAsuntos!C18+NºAsuntos!E18)/NºAsuntos!G18),(NºAsuntos!C18+NºAsuntos!E18)/NºAsuntos!G18," - ")</f>
        <v>1.6667762076897799</v>
      </c>
      <c r="G18" s="462"/>
    </row>
    <row r="19" spans="1:7" ht="15.75" customHeight="1" thickTop="1" thickBot="1">
      <c r="A19" s="792" t="str">
        <f>Datos!A19</f>
        <v>TOTAL JURISDICCIONES</v>
      </c>
      <c r="B19" s="807">
        <f>IF(ISNUMBER(NºAsuntos!G19/NºAsuntos!E19),NºAsuntos!G19/NºAsuntos!E19," - ")</f>
        <v>1.0965127238454289</v>
      </c>
      <c r="C19" s="808">
        <f>IF(ISNUMBER(NºAsuntos!I19/NºAsuntos!G19),NºAsuntos!I19/NºAsuntos!G19," - ")</f>
        <v>1.9231562661165549</v>
      </c>
      <c r="D19" s="809">
        <f>IF(ISNUMBER('Resol  Asuntos'!D19/NºAsuntos!G19),'Resol  Asuntos'!D19/NºAsuntos!G19," - ")</f>
        <v>0.24789410348977137</v>
      </c>
      <c r="E19" s="810">
        <f>IF(ISNUMBER((NºAsuntos!C19+NºAsuntos!E19)/NºAsuntos!G19),(NºAsuntos!C19+NºAsuntos!E19)/NºAsuntos!G19," - ")</f>
        <v>2.8162282963727008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iY+Lb4pgfUqlIIgYFP/G/A8r2vrOKAdAXXigU+Hl8wV5aaacZr4rUElN9TIRqyyDkvF14legcUM1jEb1k7dcQ==" saltValue="CBZ6guZ5LaEKoXU1mQ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 CRISTOBAL DE LA LAGUNA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1192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788</v>
      </c>
      <c r="Y9" s="333">
        <f>SUM(W9:X9)</f>
        <v>788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13290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1053</v>
      </c>
      <c r="AJ9" s="228" t="str">
        <f>IF(ISNUMBER(Datos!BW9),Datos!BW9," - ")</f>
        <v xml:space="preserve"> - </v>
      </c>
      <c r="AK9" s="227" t="str">
        <f>IF(ISNUMBER(Datos!BX9),Datos!BX9," - ")</f>
        <v xml:space="preserve"> - </v>
      </c>
      <c r="AL9" s="242">
        <f>IF(ISNUMBER(NºAsuntos!G9/NºAsuntos!E9),NºAsuntos!G9/NºAsuntos!E9," - ")</f>
        <v>1.4425377015080603</v>
      </c>
      <c r="AM9" s="259">
        <f>IF(ISNUMBER(((NºAsuntos!I9/NºAsuntos!G9)*11)/factor_trimestre),((NºAsuntos!I9/NºAsuntos!G9)*11)/factor_trimestre," - ")</f>
        <v>6.5284787310742614</v>
      </c>
      <c r="AN9" s="243">
        <f>IF(ISNUMBER('Resol  Asuntos'!D9/NºAsuntos!G9),'Resol  Asuntos'!D9/NºAsuntos!G9," - ")</f>
        <v>0.37959625090122567</v>
      </c>
      <c r="AO9" s="244">
        <f>IF(ISNUMBER((NºAsuntos!C9+NºAsuntos!E9)/NºAsuntos!G9),(NºAsuntos!C9+NºAsuntos!E9)/NºAsuntos!G9," - ")</f>
        <v>4.0735400144196108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65</v>
      </c>
      <c r="AC10" s="333">
        <f t="shared" ref="AC10:AC12" si="1">IF(ISNUMBER(AA10+AB10),AA10+AB10," - ")</f>
        <v>67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2</v>
      </c>
      <c r="G13" s="865">
        <f t="shared" si="3"/>
        <v>10</v>
      </c>
      <c r="H13" s="864">
        <f t="shared" si="3"/>
        <v>0</v>
      </c>
      <c r="I13" s="866">
        <f t="shared" si="3"/>
        <v>0</v>
      </c>
      <c r="J13" s="866">
        <f t="shared" si="3"/>
        <v>0</v>
      </c>
      <c r="K13" s="866">
        <f t="shared" si="3"/>
        <v>0</v>
      </c>
      <c r="L13" s="866">
        <f t="shared" si="3"/>
        <v>1192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788</v>
      </c>
      <c r="Y13" s="867">
        <f t="shared" si="4"/>
        <v>788</v>
      </c>
      <c r="Z13" s="867">
        <f t="shared" si="4"/>
        <v>0</v>
      </c>
      <c r="AA13" s="867">
        <f t="shared" si="4"/>
        <v>2</v>
      </c>
      <c r="AB13" s="867">
        <f t="shared" si="4"/>
        <v>13355</v>
      </c>
      <c r="AC13" s="867">
        <f t="shared" si="4"/>
        <v>67</v>
      </c>
      <c r="AD13" s="867">
        <f t="shared" si="4"/>
        <v>0</v>
      </c>
      <c r="AE13" s="871">
        <f t="shared" si="4"/>
        <v>0</v>
      </c>
      <c r="AF13" s="864">
        <f t="shared" si="4"/>
        <v>0</v>
      </c>
      <c r="AG13" s="872">
        <f t="shared" si="4"/>
        <v>0</v>
      </c>
      <c r="AH13" s="869">
        <f t="shared" si="4"/>
        <v>0</v>
      </c>
      <c r="AI13" s="864">
        <f t="shared" si="4"/>
        <v>1053</v>
      </c>
      <c r="AJ13" s="866">
        <f t="shared" si="4"/>
        <v>0</v>
      </c>
      <c r="AK13" s="869">
        <f>SUBTOTAL(9,AK9:AK12)</f>
        <v>0</v>
      </c>
      <c r="AL13" s="873">
        <f>IF(ISNUMBER(NºAsuntos!G13/NºAsuntos!E13),NºAsuntos!G13/NºAsuntos!E13," - ")</f>
        <v>1.4425377015080603</v>
      </c>
      <c r="AM13" s="873">
        <f>IF(ISNUMBER(((NºAsuntos!I13/NºAsuntos!G13)*11)/factor_trimestre),((NºAsuntos!I13/NºAsuntos!G13)*11)/factor_trimestre," - ")</f>
        <v>6.529920692141312</v>
      </c>
      <c r="AN13" s="874">
        <f>IF(ISNUMBER('Resol  Asuntos'!D13/NºAsuntos!G13),'Resol  Asuntos'!D13/NºAsuntos!G13," - ")</f>
        <v>0.37959625090122567</v>
      </c>
      <c r="AO13" s="875">
        <f>IF(ISNUMBER((NºAsuntos!C13+NºAsuntos!E13)/NºAsuntos!G13),(NºAsuntos!C13+NºAsuntos!E13)/NºAsuntos!G13," - ")</f>
        <v>4.0771449170872387</v>
      </c>
      <c r="AP13" s="876" t="str">
        <f t="shared" si="2"/>
        <v xml:space="preserve"> - </v>
      </c>
      <c r="AQ13" s="876">
        <f>IF(ISNUMBER((H13-W13+K13)/(F13)),(H13-W13+K13)/(F13)," - ")</f>
        <v>0</v>
      </c>
      <c r="AR13" s="877">
        <f>IF(ISNUMBER((Datos!P13-Datos!Q13)/(Datos!R13-Datos!P13+Datos!Q13)),(Datos!P13-Datos!Q13)/(Datos!R13-Datos!P13+Datos!Q13)," - ")</f>
        <v>3.11945023550305E-2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1779</v>
      </c>
      <c r="G15" s="332">
        <f>IF(ISNUMBER(IF(D_I="SI",Datos!I15,Datos!I15+Datos!AC15)),IF(D_I="SI",Datos!I15,Datos!I15+Datos!AC15)," - ")</f>
        <v>1678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3043</v>
      </c>
      <c r="X15" s="225">
        <f>IF(ISNUMBER(Datos!Q15),Datos!Q15," - ")</f>
        <v>126</v>
      </c>
      <c r="Y15" s="333">
        <f>SUM(W15)</f>
        <v>3043</v>
      </c>
      <c r="Z15" s="334" t="str">
        <f>IF(ISNUMBER(Datos!CC15),Datos!CC15," - ")</f>
        <v xml:space="preserve"> - </v>
      </c>
      <c r="AA15" s="331">
        <f>IF(ISNUMBER(IF(D_I="SI",Datos!L15,Datos!L15+Datos!AF15)),IF(D_I="SI",Datos!L15,Datos!L15+Datos!AF15)," - ")</f>
        <v>2118</v>
      </c>
      <c r="AB15" s="333">
        <f>IF(ISNUMBER(Datos!R15),Datos!R15," - ")</f>
        <v>479</v>
      </c>
      <c r="AC15" s="333">
        <f t="shared" ref="AC15:AC17" si="6">IF(ISNUMBER(AA15+AB15),AA15+AB15," - ")</f>
        <v>2597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389</v>
      </c>
      <c r="AJ15" s="230" t="str">
        <f>IF(ISNUMBER(Datos!BW15),Datos!BW15," - ")</f>
        <v xml:space="preserve"> - </v>
      </c>
      <c r="AK15" s="231" t="str">
        <f>IF(ISNUMBER(Datos!BX15),Datos!BX15," - ")</f>
        <v xml:space="preserve"> - </v>
      </c>
      <c r="AL15" s="242">
        <f>IF(ISNUMBER(NºAsuntos!G15/NºAsuntos!E15),NºAsuntos!G15/NºAsuntos!E15," - ")</f>
        <v>0.89976345357776466</v>
      </c>
      <c r="AM15" s="259">
        <f>IF(ISNUMBER(((NºAsuntos!I15/NºAsuntos!G15)*11)/factor_trimestre),((NºAsuntos!I15/NºAsuntos!G15)*11)/factor_trimestre," - ")</f>
        <v>1.3920473217219849</v>
      </c>
      <c r="AN15" s="243">
        <f>IF(ISNUMBER('Resol  Asuntos'!D15/NºAsuntos!G15),'Resol  Asuntos'!D15/NºAsuntos!G15," - ")</f>
        <v>0.12783437397305292</v>
      </c>
      <c r="AO15" s="244">
        <f>IF(ISNUMBER((NºAsuntos!C15+NºAsuntos!E15)/NºAsuntos!G15),(NºAsuntos!C15+NºAsuntos!E15)/NºAsuntos!G15," - ")</f>
        <v>1.6628327308577062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9</v>
      </c>
      <c r="G16" s="332">
        <f>IF(ISNUMBER(IF(D_I="SI",Datos!I16,Datos!I16+Datos!AC16)),IF(D_I="SI",Datos!I16,Datos!I16+Datos!AC16)," - ")</f>
        <v>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9</v>
      </c>
      <c r="AB16" s="333">
        <f>IF(ISNUMBER(Datos!R16),Datos!R16," - ")</f>
        <v>0</v>
      </c>
      <c r="AC16" s="333">
        <f t="shared" si="6"/>
        <v>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3</v>
      </c>
      <c r="AB17" s="333">
        <f>IF(ISNUMBER(Datos!R17),Datos!R17," - ")</f>
        <v>0</v>
      </c>
      <c r="AC17" s="333">
        <f t="shared" si="6"/>
        <v>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1788</v>
      </c>
      <c r="G18" s="865">
        <f>SUBTOTAL(9,G15:G17)</f>
        <v>1690</v>
      </c>
      <c r="H18" s="864">
        <f t="shared" ref="H18:O18" si="10">SUBTOTAL(9,H14:H17)</f>
        <v>0</v>
      </c>
      <c r="I18" s="866">
        <f t="shared" si="10"/>
        <v>0</v>
      </c>
      <c r="J18" s="866">
        <f t="shared" si="10"/>
        <v>0</v>
      </c>
      <c r="K18" s="866">
        <f t="shared" si="10"/>
        <v>0</v>
      </c>
      <c r="L18" s="866">
        <f t="shared" si="10"/>
        <v>91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3043</v>
      </c>
      <c r="X18" s="866">
        <f t="shared" si="11"/>
        <v>126</v>
      </c>
      <c r="Y18" s="867">
        <f t="shared" si="11"/>
        <v>3043</v>
      </c>
      <c r="Z18" s="867">
        <f t="shared" si="11"/>
        <v>0</v>
      </c>
      <c r="AA18" s="867">
        <f t="shared" si="11"/>
        <v>2130</v>
      </c>
      <c r="AB18" s="867">
        <f t="shared" si="11"/>
        <v>479</v>
      </c>
      <c r="AC18" s="867">
        <f t="shared" si="11"/>
        <v>2609</v>
      </c>
      <c r="AD18" s="867">
        <f t="shared" si="11"/>
        <v>0</v>
      </c>
      <c r="AE18" s="871">
        <f t="shared" si="11"/>
        <v>0</v>
      </c>
      <c r="AF18" s="864">
        <f t="shared" si="11"/>
        <v>0</v>
      </c>
      <c r="AG18" s="872">
        <f t="shared" si="11"/>
        <v>0</v>
      </c>
      <c r="AH18" s="869">
        <f t="shared" si="11"/>
        <v>0</v>
      </c>
      <c r="AI18" s="864">
        <f t="shared" si="11"/>
        <v>389</v>
      </c>
      <c r="AJ18" s="866">
        <f t="shared" si="11"/>
        <v>0</v>
      </c>
      <c r="AK18" s="869">
        <f t="shared" si="11"/>
        <v>0</v>
      </c>
      <c r="AL18" s="873">
        <f>IF(ISNUMBER(NºAsuntos!G18/NºAsuntos!E18),NºAsuntos!G18/NºAsuntos!E18," - ")</f>
        <v>0.89976345357776466</v>
      </c>
      <c r="AM18" s="873">
        <f>IF(ISNUMBER(((NºAsuntos!I18/NºAsuntos!G18)*11)/factor_trimestre),((NºAsuntos!I18/NºAsuntos!G18)*11)/factor_trimestre," - ")</f>
        <v>1.3999342753861321</v>
      </c>
      <c r="AN18" s="874">
        <f>IF(ISNUMBER('Resol  Asuntos'!D18/NºAsuntos!G18),'Resol  Asuntos'!D18/NºAsuntos!G18," - ")</f>
        <v>0.12783437397305292</v>
      </c>
      <c r="AO18" s="875">
        <f>IF(ISNUMBER((NºAsuntos!C18+NºAsuntos!E18)/NºAsuntos!G18),(NºAsuntos!C18+NºAsuntos!E18)/NºAsuntos!G18," - ")</f>
        <v>1.6667762076897799</v>
      </c>
      <c r="AP18" s="876" t="str">
        <f t="shared" si="2"/>
        <v xml:space="preserve"> - </v>
      </c>
      <c r="AQ18" s="876">
        <f>IF(ISNUMBER((H18-W18+K18)/(F18)),(H18-W18+K18)/(F18)," - ")</f>
        <v>-1.7019015659955257</v>
      </c>
      <c r="AR18" s="877">
        <f>IF(ISNUMBER((Datos!P18-Datos!Q18)/(Datos!R18-Datos!P18+Datos!Q18)),(Datos!P18-Datos!Q18)/(Datos!R18-Datos!P18+Datos!Q18)," - ")</f>
        <v>-6.8093385214007776E-2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1790</v>
      </c>
      <c r="G19" s="820">
        <f t="shared" si="13"/>
        <v>1700</v>
      </c>
      <c r="H19" s="819">
        <f t="shared" si="13"/>
        <v>0</v>
      </c>
      <c r="I19" s="821">
        <f t="shared" si="13"/>
        <v>0</v>
      </c>
      <c r="J19" s="821">
        <f t="shared" si="13"/>
        <v>0</v>
      </c>
      <c r="K19" s="880">
        <f t="shared" si="13"/>
        <v>0</v>
      </c>
      <c r="L19" s="821">
        <f t="shared" si="13"/>
        <v>1283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3043</v>
      </c>
      <c r="X19" s="820">
        <f t="shared" si="14"/>
        <v>914</v>
      </c>
      <c r="Y19" s="827">
        <f t="shared" si="14"/>
        <v>3831</v>
      </c>
      <c r="Z19" s="827">
        <f t="shared" si="14"/>
        <v>0</v>
      </c>
      <c r="AA19" s="827">
        <f t="shared" si="14"/>
        <v>2132</v>
      </c>
      <c r="AB19" s="827">
        <f t="shared" si="14"/>
        <v>13834</v>
      </c>
      <c r="AC19" s="827">
        <f t="shared" si="14"/>
        <v>2676</v>
      </c>
      <c r="AD19" s="827">
        <f t="shared" si="14"/>
        <v>0</v>
      </c>
      <c r="AE19" s="829">
        <f t="shared" si="14"/>
        <v>0</v>
      </c>
      <c r="AF19" s="830">
        <f t="shared" si="14"/>
        <v>0</v>
      </c>
      <c r="AG19" s="831">
        <f t="shared" si="14"/>
        <v>0</v>
      </c>
      <c r="AH19" s="829">
        <f t="shared" si="14"/>
        <v>0</v>
      </c>
      <c r="AI19" s="819">
        <f t="shared" si="14"/>
        <v>1442</v>
      </c>
      <c r="AJ19" s="819">
        <f t="shared" si="14"/>
        <v>0</v>
      </c>
      <c r="AK19" s="829">
        <f t="shared" si="14"/>
        <v>0</v>
      </c>
      <c r="AL19" s="883">
        <f>IF(ISNUMBER(NºAsuntos!G19/NºAsuntos!E19),NºAsuntos!G19/NºAsuntos!E19," - ")</f>
        <v>1.0965127238454289</v>
      </c>
      <c r="AM19" s="884">
        <f>IF(ISNUMBER(((NºAsuntos!I19/NºAsuntos!G19)*11)/factor_trimestre),((NºAsuntos!I19/NºAsuntos!G19)*11)/factor_trimestre," - ")</f>
        <v>3.8463125322331098</v>
      </c>
      <c r="AN19" s="884">
        <f>IF(ISNUMBER('Resol  Asuntos'!D19/NºAsuntos!G19),'Resol  Asuntos'!D19/NºAsuntos!G19," - ")</f>
        <v>0.24789410348977137</v>
      </c>
      <c r="AO19" s="885">
        <f>IF(ISNUMBER((NºAsuntos!C19+NºAsuntos!E19)/NºAsuntos!G19),(NºAsuntos!C19+NºAsuntos!E19)/NºAsuntos!G19," - ")</f>
        <v>2.8162282963727008</v>
      </c>
      <c r="AP19" s="886" t="str">
        <f t="shared" si="2"/>
        <v xml:space="preserve"> - </v>
      </c>
      <c r="AQ19" s="887">
        <f>IF(OR(ISNUMBER(FIND("01",Criterios!A8,1)),ISNUMBER(FIND("02",Criterios!A8,1)),ISNUMBER(FIND("03",Criterios!A8,1)),ISNUMBER(FIND("04",Criterios!A8,1))),(I19-W19+K19)/(F19-K19),(H19-W19+K19)/(F19-K19))</f>
        <v>-1.7</v>
      </c>
      <c r="AR19" s="888">
        <f>IF(ISNUMBER((Datos!P19-Datos!Q19)/(Datos!R19-Datos!P19+Datos!Q19)),(Datos!P19-Datos!Q19)/(Datos!R19-Datos!P19+Datos!Q19)," - ")</f>
        <v>2.7404381730412181E-2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566.66666666666663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3.0867098629086893</v>
      </c>
      <c r="F21" s="251">
        <f>IF(ISNUMBER(STDEV(F8:F18)),STDEV(F8:F18),"-")</f>
        <v>974.49910210322923</v>
      </c>
      <c r="G21" s="252">
        <f>IF(ISNUMBER(STDEV(G8:G18)),STDEV(G8:G18),"-")</f>
        <v>865.49492584686277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1571.3984430012226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471.17795647363073</v>
      </c>
      <c r="AJ21" s="251">
        <f t="shared" si="18"/>
        <v>0</v>
      </c>
      <c r="AK21" s="253">
        <f t="shared" si="18"/>
        <v>0</v>
      </c>
      <c r="AL21" s="248">
        <f t="shared" si="18"/>
        <v>0.31337085815175186</v>
      </c>
      <c r="AM21" s="249">
        <f t="shared" si="18"/>
        <v>2.9636613553001827</v>
      </c>
      <c r="AN21" s="249">
        <f t="shared" si="18"/>
        <v>0.14535478741616598</v>
      </c>
      <c r="AO21" s="250">
        <f t="shared" si="18"/>
        <v>1.3917264704482051</v>
      </c>
      <c r="AP21" s="290" t="str">
        <f t="shared" si="18"/>
        <v>-</v>
      </c>
      <c r="AQ21" s="291">
        <f t="shared" si="18"/>
        <v>1.2034261382274407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00XnoeGH0kvN5djazdX9lERR8sLC8WrF7Ty+vMzzjivdi7zZG1iBlIURh/Nbxmp05KwofBZ2f+oXq4i/F0KHQw==" saltValue="CB33XtY7564+ydDhEA20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 CRISTOBAL DE LA LAGUNA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-0.1830876648564779</v>
      </c>
      <c r="I9" s="349">
        <f>IF(ISNUMBER((Tasas!C9-Datos!BE9)/Datos!BE9),(Tasas!C9-Datos!BE9)/Datos!BE9," - ")</f>
        <v>0.23535947556426545</v>
      </c>
      <c r="J9" s="348">
        <f>IF(ISNUMBER((Tasas!D9-Datos!BF9)/Datos!BF9),(Tasas!D9-Datos!BF9)/Datos!BF9," - ")</f>
        <v>-1.4107855673262721E-2</v>
      </c>
      <c r="K9" s="350">
        <f>IF(ISNUMBER((Tasas!E9-Datos!BG9)/Datos!BG9),(Tasas!E9-Datos!BG9)/Datos!BG9," - ")</f>
        <v>0.12601673468381583</v>
      </c>
      <c r="M9" t="e">
        <f>IF(Monitorios="SI",Datos!CE9,0)</f>
        <v>#REF!</v>
      </c>
      <c r="N9" t="e">
        <f>IF(Monitorios="SI",Datos!CF9,0)</f>
        <v>#REF!</v>
      </c>
      <c r="O9" t="e">
        <f>IF(Monitorios="SI",Datos!CG9,0)</f>
        <v>#REF!</v>
      </c>
      <c r="P9" t="e">
        <f>IF(Monitorios="SI",Datos!CH9,0)</f>
        <v>#REF!</v>
      </c>
      <c r="Q9">
        <f>IF(J_V="SI",0,Datos!AG9)</f>
        <v>151</v>
      </c>
      <c r="R9">
        <f>IF(J_V="SI",0,Datos!AH9)</f>
        <v>117</v>
      </c>
      <c r="S9">
        <f>IF(J_V="SI",0,Datos!AI9)</f>
        <v>156</v>
      </c>
      <c r="T9">
        <f>IF(J_V="SI",0,Datos!AJ9)</f>
        <v>129</v>
      </c>
    </row>
    <row r="10" spans="2:20" ht="14.25">
      <c r="B10" s="274" t="s">
        <v>246</v>
      </c>
      <c r="C10" s="7" t="str">
        <f>Datos!A10</f>
        <v>Jdos. Violencia contra la mujer/Secc Viol. TI.</v>
      </c>
      <c r="D10" s="351">
        <f>IF(ISNUMBER((Datos!I10-Datos!S10)/Datos!S10),(Datos!I10-Datos!S10)/Datos!S10," - ")</f>
        <v>-0.23076923076923078</v>
      </c>
      <c r="E10" s="347">
        <f>IF(ISNUMBER((Datos!J10-Datos!T10)/Datos!T10),(Datos!J10-Datos!T10)/Datos!T10," - ")</f>
        <v>-1</v>
      </c>
      <c r="F10" s="347">
        <f>IF(ISNUMBER((Datos!K10-Datos!U10)/Datos!U10),(Datos!K10-Datos!U10)/Datos!U10," - ")</f>
        <v>-1</v>
      </c>
      <c r="G10" s="348">
        <f>IF(ISNUMBER((Datos!L10-Datos!V10)/Datos!V10),(Datos!L10-Datos!V10)/Datos!V10," - ")</f>
        <v>-0.84615384615384615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-0.18435321456235476</v>
      </c>
      <c r="I13" s="356">
        <f>IF(ISNUMBER((Tasas!C13-Datos!BE13)/Datos!BE13),(Tasas!C13-Datos!BE13)/Datos!BE13," - ")</f>
        <v>0.23731435080276253</v>
      </c>
      <c r="J13" s="354">
        <f>IF(ISNUMBER((Tasas!D13-Datos!BF13)/Datos!BF13),(Tasas!D13-Datos!BF13)/Datos!BF13," - ")</f>
        <v>-1.2838420586026193E-2</v>
      </c>
      <c r="K13" s="357">
        <f>IF(ISNUMBER((Tasas!E13-Datos!BG13)/Datos!BG13),(Tasas!E13-Datos!BG13)/Datos!BG13," - ")</f>
        <v>0.12811273176032958</v>
      </c>
      <c r="M13" t="e">
        <f>IF(Monitorios="SI",Datos!CE13,0)</f>
        <v>#REF!</v>
      </c>
      <c r="N13" t="e">
        <f>IF(Monitorios="SI",Datos!CF13,0)</f>
        <v>#REF!</v>
      </c>
      <c r="O13" t="e">
        <f>IF(Monitorios="SI",Datos!CG13,0)</f>
        <v>#REF!</v>
      </c>
      <c r="P13" t="e">
        <f>IF(Monitorios="SI",Datos!CH13,0)</f>
        <v>#REF!</v>
      </c>
      <c r="Q13">
        <f>IF(J_V="SI",0,Datos!AG13)</f>
        <v>151</v>
      </c>
      <c r="R13">
        <f>IF(J_V="SI",0,Datos!AH13)</f>
        <v>117</v>
      </c>
      <c r="S13">
        <f>IF(J_V="SI",0,Datos!AI13)</f>
        <v>156</v>
      </c>
      <c r="T13">
        <f>IF(J_V="SI",0,Datos!AJ13)</f>
        <v>129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-0.23413966225467822</v>
      </c>
      <c r="E15" s="347">
        <f>IF(ISNUMBER(
   IF(D_I="SI",(Datos!J15-Datos!T15)/Datos!T15,(Datos!J15+Datos!AD15-(Datos!T15+Datos!AL15))/(Datos!T15+Datos!AL15))
     ),IF(D_I="SI",(Datos!J15-Datos!T15)/Datos!T15,(Datos!J15+Datos!AD15-(Datos!T15+Datos!AL15))/(Datos!T15+Datos!AL15))," - ")</f>
        <v>8.0511182108626192E-2</v>
      </c>
      <c r="F15" s="347">
        <f>IF(ISNUMBER(
   IF(D_I="SI",(Datos!K15-Datos!U15)/Datos!U15,(Datos!K15+Datos!AE15-(Datos!U15+Datos!AM15))/(Datos!U15+Datos!AM15))
     ),IF(D_I="SI",(Datos!K15-Datos!U15)/Datos!U15,(Datos!K15+Datos!AE15-(Datos!U15+Datos!AM15))/(Datos!U15+Datos!AM15))," - ")</f>
        <v>-9.6764618581181364E-2</v>
      </c>
      <c r="G15" s="348">
        <f>IF(ISNUMBER(
   IF(D_I="SI",(Datos!L15-Datos!V15)/Datos!V15,(Datos!L15+Datos!AF15-(Datos!V15+Datos!AN15))/(Datos!V15+Datos!AN15))
     ),IF(D_I="SI",(Datos!L15-Datos!V15)/Datos!V15,(Datos!L15+Datos!AF15-(Datos!V15+Datos!AN15))/(Datos!V15+Datos!AN15))," - ")</f>
        <v>5.7413879181228158E-2</v>
      </c>
      <c r="H15" s="229">
        <f>IF(ISNUMBER((Datos!M15-Datos!W15)/Datos!W15),(Datos!M15-Datos!W15)/Datos!W15," - ")</f>
        <v>-4.8899755501222497E-2</v>
      </c>
      <c r="I15" s="349">
        <f>IF(ISNUMBER((Tasas!C15-Datos!BE15)/Datos!BE15),(Tasas!C15-Datos!BE15)/Datos!BE15," - ")</f>
        <v>0.17069581300084047</v>
      </c>
      <c r="J15" s="348">
        <f>IF(ISNUMBER((Tasas!D15-Datos!BF15)/Datos!BF15),(Tasas!D15-Datos!BF15)/Datos!BF15," - ")</f>
        <v>5.2992679499303898E-2</v>
      </c>
      <c r="K15" s="350">
        <f>IF(ISNUMBER((Tasas!E15-Datos!BG15)/Datos!BG15),(Tasas!E15-Datos!BG15)/Datos!BG15," - ")</f>
        <v>5.282530920120504E-2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-0.1</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-0.875</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-0.85</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-0.24044943820224718</v>
      </c>
      <c r="E18" s="353">
        <f>IF(ISNUMBER(
   IF(D_I="SI",(Datos!J18-Datos!T18)/Datos!T18,(Datos!J18+Datos!AD18-(Datos!T18+Datos!AL18))/(Datos!T18+Datos!AL18))
     ),IF(D_I="SI",(Datos!J18-Datos!T18)/Datos!T18,(Datos!J18+Datos!AD18-(Datos!T18+Datos!AL18))/(Datos!T18+Datos!AL18))," - ")</f>
        <v>8.0511182108626192E-2</v>
      </c>
      <c r="F18" s="353">
        <f>IF(ISNUMBER(
   IF(D_I="SI",(Datos!K18-Datos!U18)/Datos!U18,(Datos!K18+Datos!AE18-(Datos!U18+Datos!AM18))/(Datos!U18+Datos!AM18))
     ),IF(D_I="SI",(Datos!K18-Datos!U18)/Datos!U18,(Datos!K18+Datos!AE18-(Datos!U18+Datos!AM18))/(Datos!U18+Datos!AM18))," - ")</f>
        <v>-9.7835754521197749E-2</v>
      </c>
      <c r="G18" s="354">
        <f>IF(ISNUMBER(
   IF(D_I="SI",(Datos!L18-Datos!V18)/Datos!V18,(Datos!L18+Datos!AF18-(Datos!V18+Datos!AN18))/(Datos!V18+Datos!AN18))
     ),IF(D_I="SI",(Datos!L18-Datos!V18)/Datos!V18,(Datos!L18+Datos!AF18-(Datos!V18+Datos!AN18))/(Datos!V18+Datos!AN18))," - ")</f>
        <v>4.7712739793408752E-2</v>
      </c>
      <c r="H18" s="355">
        <f>IF(ISNUMBER((Datos!M18-Datos!W18)/Datos!W18),(Datos!M18-Datos!W18)/Datos!W18," - ")</f>
        <v>-4.8899755501222497E-2</v>
      </c>
      <c r="I18" s="356">
        <f>IF(ISNUMBER((Tasas!C18-Datos!BE18)/Datos!BE18),(Tasas!C18-Datos!BE18)/Datos!BE18," - ")</f>
        <v>0.16133258998460981</v>
      </c>
      <c r="J18" s="354">
        <f>IF(ISNUMBER((Tasas!D18-Datos!BF18)/Datos!BF18),(Tasas!D18-Datos!BF18)/Datos!BF18," - ")</f>
        <v>5.4242893425690705E-2</v>
      </c>
      <c r="K18" s="357">
        <f>IF(ISNUMBER((Tasas!E18-Datos!BG18)/Datos!BG18),(Tasas!E18-Datos!BG18)/Datos!BG18," - ")</f>
        <v>4.9866694404785722E-2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-0.12115201523325929</v>
      </c>
      <c r="E19" s="362">
        <f>IF(ISNUMBER(
   IF(J_V="SI",(Datos!J19-Datos!T19)/Datos!T19,(Datos!J19+Datos!Z19-(Datos!T19+Datos!AH19))/(Datos!T19+Datos!AH19))
     ),IF(J_V="SI",(Datos!J19-Datos!T19)/Datos!T19,(Datos!J19+Datos!Z19-(Datos!T19+Datos!AH19))/(Datos!T19+Datos!AH19))," - ")</f>
        <v>-0.15214959245644877</v>
      </c>
      <c r="F19" s="362">
        <f>IF(ISNUMBER(
   IF(J_V="SI",(Datos!K19-Datos!U19)/Datos!U19,(Datos!K19+Datos!AA19-(Datos!U19+Datos!AI19))/(Datos!U19+Datos!AI19))
     ),IF(J_V="SI",(Datos!K19-Datos!U19)/Datos!U19,(Datos!K19+Datos!AA19-(Datos!U19+Datos!AI19))/(Datos!U19+Datos!AI19))," - ")</f>
        <v>-0.18185654008438817</v>
      </c>
      <c r="G19" s="363">
        <f>IF(ISNUMBER(
   IF(J_V="SI",(Datos!L19-Datos!V19)/Datos!V19,(Datos!L19+Datos!AB19-(Datos!V19+Datos!AJ19))/(Datos!V19+Datos!AJ19))
     ),IF(J_V="SI",(Datos!L19-Datos!V19)/Datos!V19,(Datos!L19+Datos!AB19-(Datos!V19+Datos!AJ19))/(Datos!V19+Datos!AJ19))," - ")</f>
        <v>-5.9441735328737179E-2</v>
      </c>
      <c r="H19" s="364">
        <f>IF(ISNUMBER((Datos!M19-Datos!W19)/Datos!W19),(Datos!M19-Datos!W19)/Datos!W19," - ")</f>
        <v>-0.15176470588235294</v>
      </c>
      <c r="I19" s="361">
        <f>IF(ISNUMBER((Tasas!C19-Datos!BE19)/Datos!BE19),(Tasas!C19-Datos!BE19)/Datos!BE19," - ")</f>
        <v>0.14962510947441607</v>
      </c>
      <c r="J19" s="362">
        <f>IF(ISNUMBER((Tasas!D19-Datos!BF19)/Datos!BF19),(Tasas!D19-Datos!BF19)/Datos!BF19," - ")</f>
        <v>-4.5218268790750547E-2</v>
      </c>
      <c r="K19" s="363">
        <f>IF(ISNUMBER((Tasas!E19-Datos!BG19)/Datos!BG19),(Tasas!E19-Datos!BG19)/Datos!BG19," - ")</f>
        <v>6.162892673823768E-2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0.30691852639507733</v>
      </c>
      <c r="E21" s="277">
        <f t="shared" si="1"/>
        <v>0.62383342185281609</v>
      </c>
      <c r="F21" s="277">
        <f t="shared" si="1"/>
        <v>0.52117416374522951</v>
      </c>
      <c r="G21" s="278">
        <f t="shared" si="1"/>
        <v>0.46961009726418151</v>
      </c>
      <c r="H21" s="284">
        <f t="shared" si="1"/>
        <v>0.40090637703017734</v>
      </c>
      <c r="I21" s="276">
        <f t="shared" si="1"/>
        <v>4.0788190777767318E-2</v>
      </c>
      <c r="J21" s="277">
        <f t="shared" si="1"/>
        <v>3.874179230400366E-2</v>
      </c>
      <c r="K21" s="278">
        <f t="shared" si="1"/>
        <v>4.3741283285334075E-2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qO9zE4S12VLj6W1tTNakYgTHZ0OZPy+MvCbhhmLmEUutlXtLToI3alKaOPeqVlxNTYsfJSm0CA4T8lAOjHzfw==" saltValue="t+RIeb6vTtbHWo6k73OR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